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9320" windowHeight="12120" tabRatio="951" activeTab="0"/>
  </bookViews>
  <sheets>
    <sheet name="Income Statement" sheetId="1" r:id="rId1"/>
    <sheet name="Staffing" sheetId="2" r:id="rId2"/>
    <sheet name="Revenue - Website" sheetId="3" r:id="rId3"/>
    <sheet name="Expenses - Website" sheetId="4" r:id="rId4"/>
    <sheet name="Revenue - B-to-C" sheetId="5" r:id="rId5"/>
    <sheet name="Expenses- BtoC" sheetId="6" r:id="rId6"/>
    <sheet name="Profits by Service - BtoC" sheetId="7" r:id="rId7"/>
    <sheet name="Expenses- B-to-B" sheetId="8" r:id="rId8"/>
    <sheet name="Revenue - B-to-B" sheetId="9" r:id="rId9"/>
    <sheet name="Profits by Service- B-to-B" sheetId="10" r:id="rId10"/>
    <sheet name="Unique Visitor Calculations" sheetId="11" r:id="rId11"/>
  </sheets>
  <definedNames>
    <definedName name="_xlnm.Print_Area" localSheetId="1">'Staffing'!$A$1:$I$90</definedName>
    <definedName name="_xlnm.Print_Titles" localSheetId="1">'Staffing'!$56:$57</definedName>
  </definedNames>
  <calcPr fullCalcOnLoad="1"/>
</workbook>
</file>

<file path=xl/comments5.xml><?xml version="1.0" encoding="utf-8"?>
<comments xmlns="http://schemas.openxmlformats.org/spreadsheetml/2006/main">
  <authors>
    <author>Yen-hsing Wang</author>
  </authors>
  <commentList>
    <comment ref="F45" authorId="0">
      <text>
        <r>
          <rPr>
            <b/>
            <sz val="9"/>
            <rFont val="Arial"/>
            <family val="0"/>
          </rPr>
          <t>Nancy Wang:</t>
        </r>
        <r>
          <rPr>
            <sz val="9"/>
            <rFont val="Arial"/>
            <family val="0"/>
          </rPr>
          <t xml:space="preserve">
http://74.125.47.132/search?q=cache:AvYMX_xRdZcJ:www.costhelper.com/cost/electronics/text-messaging.html+text+message+cost&amp;cd=4&amp;hl=en&amp;ct=clnk&amp;gl=us&amp;client=firefox-a</t>
        </r>
      </text>
    </comment>
  </commentList>
</comments>
</file>

<file path=xl/sharedStrings.xml><?xml version="1.0" encoding="utf-8"?>
<sst xmlns="http://schemas.openxmlformats.org/spreadsheetml/2006/main" count="2170" uniqueCount="564">
  <si>
    <t>Expense/Revenue Margin</t>
  </si>
  <si>
    <t>Investing Income</t>
  </si>
  <si>
    <t>Capex per Employee</t>
  </si>
  <si>
    <t>Capital Expense</t>
  </si>
  <si>
    <t>Earnings Before Taxes</t>
  </si>
  <si>
    <t>Income Taxes @40%</t>
  </si>
  <si>
    <t>Earnings</t>
  </si>
  <si>
    <t>Net Margin</t>
  </si>
  <si>
    <t>Number of Conferences</t>
  </si>
  <si>
    <t>Internetworldstats.com: US average is 74.7%; so in metro cities, the assumption is that it's higher</t>
  </si>
  <si>
    <t>Display Ads (Locally Sold Ads)</t>
  </si>
  <si>
    <t>**Cost per page for a full-time ad</t>
  </si>
  <si>
    <t>(organization of themed events, like real estate, car sales, etc.)</t>
  </si>
  <si>
    <t>- ticket sales to events</t>
  </si>
  <si>
    <t>- sponsorship from local businesses</t>
  </si>
  <si>
    <t>Number of adults in market</t>
  </si>
  <si>
    <t>% of adults in target market / event</t>
  </si>
  <si>
    <t>Number of adults in target market</t>
  </si>
  <si>
    <t>% of adults who go to an event</t>
  </si>
  <si>
    <t>Number of adults who go to an event</t>
  </si>
  <si>
    <t>Number of events</t>
  </si>
  <si>
    <t>Number of businesses for sponsorship / event</t>
  </si>
  <si>
    <t>Average price / ticket / person</t>
  </si>
  <si>
    <t>Average booth fee / event / business</t>
  </si>
  <si>
    <t>Ticket sales</t>
  </si>
  <si>
    <t>Revenue from businesses</t>
  </si>
  <si>
    <t>LOCAL COUPON SERVICE</t>
  </si>
  <si>
    <t>(coupons from local businesses through online and mobile)</t>
  </si>
  <si>
    <t>- one-time flat fee to businesses to upload a coupon / discount</t>
  </si>
  <si>
    <t>- annual subscription fee to businesses to upload unlimited coupons / discounts</t>
  </si>
  <si>
    <t>% of businesses one-time upload</t>
  </si>
  <si>
    <t>% of businesses annual sub</t>
  </si>
  <si>
    <t>Average fee for one-time upload</t>
  </si>
  <si>
    <t>Average number of uploads / business</t>
  </si>
  <si>
    <t>- annual subscription to download unlimited files</t>
  </si>
  <si>
    <t>% of sales- annual sub for unlimited files</t>
  </si>
  <si>
    <t>Annual sub price</t>
  </si>
  <si>
    <t>TICKETS FOR LOCAL EVENTS / ENTERTAINMENT</t>
  </si>
  <si>
    <t>- commission on each ticket sold through the site</t>
  </si>
  <si>
    <t>Proxy: Ticketmaster sales in 2008</t>
  </si>
  <si>
    <t>17% growth; but we reduced to 5% to be conservative</t>
  </si>
  <si>
    <t>Revenue / American</t>
  </si>
  <si>
    <t>See "UV calc" tab - shaved by a little over 1/3 to be conservative</t>
  </si>
  <si>
    <t>NAA; AdPerfect; Centro</t>
  </si>
  <si>
    <t>Local Remnant Ads</t>
  </si>
  <si>
    <t>National Remnant Ads</t>
  </si>
  <si>
    <t>Metrowide ad network</t>
  </si>
  <si>
    <t>% commission for NNO</t>
  </si>
  <si>
    <t>Local remnant ad revenue</t>
  </si>
  <si>
    <t>National remnant ad revenue</t>
  </si>
  <si>
    <t>Metrowide ad network revenue</t>
  </si>
  <si>
    <t>Newspaper</t>
  </si>
  <si>
    <t>UV- 2007 *</t>
  </si>
  <si>
    <t>Inhabitants **</t>
  </si>
  <si>
    <t>%</t>
  </si>
  <si>
    <t>Page Views</t>
  </si>
  <si>
    <t>Page Views / mth / user</t>
  </si>
  <si>
    <t>NYT</t>
  </si>
  <si>
    <t>LA Times + Orange Cty Reg</t>
  </si>
  <si>
    <t>Chicago Tribune</t>
  </si>
  <si>
    <t>WashPo</t>
  </si>
  <si>
    <t>Boston Globe</t>
  </si>
  <si>
    <t>SF Chronicle</t>
  </si>
  <si>
    <t>Houston Chronicle</t>
  </si>
  <si>
    <t>Atlanta Journal Const.</t>
  </si>
  <si>
    <t>Seattle PI</t>
  </si>
  <si>
    <t>Minn Star Tribune</t>
  </si>
  <si>
    <t>Indianapolis Star</t>
  </si>
  <si>
    <t>Salt Lake City Tribune</t>
  </si>
  <si>
    <t>20% of mature avg</t>
  </si>
  <si>
    <t>40% of mature avg</t>
  </si>
  <si>
    <t>60% of mature avg</t>
  </si>
  <si>
    <t>Source:</t>
  </si>
  <si>
    <t>* http://www.boston.com/business/globe/articles/2007/11/06/online_figures/ : Audit Bureau of Circulations</t>
  </si>
  <si>
    <t>** US Census Bureau - CSA figures; est July 2008</t>
  </si>
  <si>
    <t>Web service development</t>
  </si>
  <si>
    <t>Start-up cost / person</t>
  </si>
  <si>
    <t>Number of adults in local market</t>
  </si>
  <si>
    <t>Local Proxy: sales</t>
  </si>
  <si>
    <t>% of sales through NNO</t>
  </si>
  <si>
    <t>Commission %</t>
  </si>
  <si>
    <t>LOCAL WEBSITES BASED ON TARGETED MARKETS / COMMUNITIES</t>
  </si>
  <si>
    <t>- advertising</t>
  </si>
  <si>
    <t>- commission on services / lead generation</t>
  </si>
  <si>
    <t>TRAFFIC</t>
  </si>
  <si>
    <t>Number of sites</t>
  </si>
  <si>
    <t>% of adults / target market</t>
  </si>
  <si>
    <t>% of target market as UV</t>
  </si>
  <si>
    <t>UV</t>
  </si>
  <si>
    <t>PV</t>
  </si>
  <si>
    <t>Display</t>
  </si>
  <si>
    <t>Local</t>
  </si>
  <si>
    <t>National</t>
  </si>
  <si>
    <t>Contextual</t>
  </si>
  <si>
    <t>Local websites based on targeted markets / communities</t>
  </si>
  <si>
    <t>Total for site launch in yr 1</t>
  </si>
  <si>
    <t>Total for site launch in yr 2</t>
  </si>
  <si>
    <t>Total for site launch in yr 3</t>
  </si>
  <si>
    <t>Revenue base for sales commission</t>
  </si>
  <si>
    <t>Main Website</t>
  </si>
  <si>
    <t>Online Ad Revenues</t>
  </si>
  <si>
    <t>Sales Commissions on Metrowide Ad Network Sales</t>
  </si>
  <si>
    <t>Operating Income Margin</t>
  </si>
  <si>
    <t>Operating Income (EBITDA)</t>
  </si>
  <si>
    <t>Cumulative EBITDA</t>
  </si>
  <si>
    <t>(monthly print version; free distribution is through kiosks, stores, hotels; example is local school guide, local tourist guide, etc.)</t>
  </si>
  <si>
    <t>- advertising from businesses</t>
  </si>
  <si>
    <t>Number of themes</t>
  </si>
  <si>
    <t>Number of copies / theme</t>
  </si>
  <si>
    <t>Number of pages (52 = 40% ad pages)</t>
  </si>
  <si>
    <t>% ad pages</t>
  </si>
  <si>
    <t>Average cost / full page</t>
  </si>
  <si>
    <t>Special / Themed issues</t>
  </si>
  <si>
    <t>EVENTS</t>
  </si>
  <si>
    <t>Total</t>
  </si>
  <si>
    <t>OPERATING PROFIT (EBITDA)</t>
  </si>
  <si>
    <t>Number of new listing titles</t>
  </si>
  <si>
    <t>Number of recurring listing titles</t>
  </si>
  <si>
    <t>Total listing titles</t>
  </si>
  <si>
    <t>Average number of addresses / listing</t>
  </si>
  <si>
    <t>% of UV to purchase a listing</t>
  </si>
  <si>
    <t>Number of sales (downloads) / listing</t>
  </si>
  <si>
    <t>% of sales- excel file</t>
  </si>
  <si>
    <t>% of sales- PDF file</t>
  </si>
  <si>
    <t>Average price / excel address</t>
  </si>
  <si>
    <t>Average price / PDF address</t>
  </si>
  <si>
    <t>Display ad revenue</t>
  </si>
  <si>
    <t>ONLINE TRAFFIC</t>
  </si>
  <si>
    <t>Total Year 3</t>
  </si>
  <si>
    <t>Total Year 2</t>
  </si>
  <si>
    <t>Mth 5</t>
  </si>
  <si>
    <t>Mth 6</t>
  </si>
  <si>
    <t>Mth 7</t>
  </si>
  <si>
    <t>Mth 8</t>
  </si>
  <si>
    <t>Mth 9</t>
  </si>
  <si>
    <t>Mth 10</t>
  </si>
  <si>
    <t>Mth 11</t>
  </si>
  <si>
    <t>Mth 12</t>
  </si>
  <si>
    <t>Beginning UV</t>
  </si>
  <si>
    <t>Ending UV</t>
  </si>
  <si>
    <t>CPM (display ads)</t>
  </si>
  <si>
    <t>No. of ads per page</t>
  </si>
  <si>
    <t>Display Ads</t>
  </si>
  <si>
    <t>Contextual Ads</t>
  </si>
  <si>
    <t>Editorial Staff</t>
  </si>
  <si>
    <t>EDITORIAL STAFF</t>
  </si>
  <si>
    <t>Sales &amp; Marketing Director</t>
  </si>
  <si>
    <t>TOTAL EXPENSES</t>
  </si>
  <si>
    <t>S,G&amp;A</t>
  </si>
  <si>
    <t>SALES &amp; MARKETING</t>
  </si>
  <si>
    <t>Page views / month</t>
  </si>
  <si>
    <t>Average sponsorship fee / week</t>
  </si>
  <si>
    <t>Number of sponsorships / week</t>
  </si>
  <si>
    <t>TOTAL - Sales &amp; Marketing</t>
  </si>
  <si>
    <t>ANNUAL SALARY COSTS</t>
  </si>
  <si>
    <t>Average annual sub</t>
  </si>
  <si>
    <t>One-time uploads</t>
  </si>
  <si>
    <t>Annual subs</t>
  </si>
  <si>
    <t>DONATION SYSTEM FOR WATCHDOG JOURNALISM</t>
  </si>
  <si>
    <t>(ask citizens for donations for specific topics)</t>
  </si>
  <si>
    <t>- donations from citizens to cover specific topics (spot.us model)</t>
  </si>
  <si>
    <t>Average number of articles</t>
  </si>
  <si>
    <t>Average donation / article</t>
  </si>
  <si>
    <t>Figure from spot.us</t>
  </si>
  <si>
    <t>TWITTER COUPONS</t>
  </si>
  <si>
    <t>(businesses have access to post deal Tweets to NNO Twitter followers)</t>
  </si>
  <si>
    <t>- price per coupon posted</t>
  </si>
  <si>
    <t>% of UV that are twitter followers</t>
  </si>
  <si>
    <t>Number of twitter followers</t>
  </si>
  <si>
    <t>Coupon price (by follower) / coupon</t>
  </si>
  <si>
    <t>% of businesses buying coupon space</t>
  </si>
  <si>
    <t>Number of businesses buying coupon space</t>
  </si>
  <si>
    <t>LISTING SALES OF LOCAL BUSINESSES</t>
  </si>
  <si>
    <t>- one-time flat fee payment to download PDF file</t>
  </si>
  <si>
    <t>- one-time flat fee payment to download excel file</t>
  </si>
  <si>
    <t>Site builder</t>
  </si>
  <si>
    <t>Training in sales &amp; marketing for local businesses</t>
  </si>
  <si>
    <t>Online subscription to weekly e-newsletters</t>
  </si>
  <si>
    <t>Businesses for sale and funding</t>
  </si>
  <si>
    <t>Email campaign service</t>
  </si>
  <si>
    <t>ONLINE AD REVENUES</t>
  </si>
  <si>
    <t>Input field</t>
  </si>
  <si>
    <t>Source</t>
  </si>
  <si>
    <t>Market</t>
  </si>
  <si>
    <t>No. of adults (18+)</t>
  </si>
  <si>
    <t>% of online users</t>
  </si>
  <si>
    <t>% of users visiting site</t>
  </si>
  <si>
    <t>Average of 4 standard market size; reduced because a new brand; see "UV calc" tab</t>
  </si>
  <si>
    <t>Number of businesses in local market</t>
  </si>
  <si>
    <t>% of UV</t>
  </si>
  <si>
    <t>Number of PV / UV</t>
  </si>
  <si>
    <t>CPM</t>
  </si>
  <si>
    <t>(for example, list of the I/T buyers of the largest 500 companies in the state, list of the security managers of the largest 500 companies in the state, list of the supply managers of the largest 500 companies in the state, etc.)</t>
  </si>
  <si>
    <t>(tool to help local businesses to build their web site)</t>
  </si>
  <si>
    <t>Advertising</t>
  </si>
  <si>
    <t>Other</t>
  </si>
  <si>
    <t>Benefits</t>
  </si>
  <si>
    <t>ASSUMPTIONS</t>
  </si>
  <si>
    <t xml:space="preserve">  -  Online</t>
  </si>
  <si>
    <t>ONLINE AD REVENUE</t>
  </si>
  <si>
    <t>- free to submit RFPs up to 3 RFPs (after 3, one-time flat fee payment to pay per submission; annual subscription to submit unlimited RFPs)</t>
  </si>
  <si>
    <t>- respond to / bid on RFPs - one-time payment to respond to a specific RFP; annual subscription to respond to / bid on unlimited RFPs)</t>
  </si>
  <si>
    <t>- one-time flat fee payment to post business for sale (3 pricing tiers dependent on the price of the business)</t>
  </si>
  <si>
    <t>Management &amp; Admin</t>
  </si>
  <si>
    <t>Citizen Journalism Network</t>
  </si>
  <si>
    <t>Marketing</t>
  </si>
  <si>
    <t>Rent &amp; Utilities</t>
  </si>
  <si>
    <t>Hosting &amp; Tech Equipment</t>
  </si>
  <si>
    <t>Travel &amp; Misc</t>
  </si>
  <si>
    <t>Budget / person</t>
  </si>
  <si>
    <t>Number of persons</t>
  </si>
  <si>
    <t>Square footage / person</t>
  </si>
  <si>
    <t>Cost / sq ft</t>
  </si>
  <si>
    <t>Expenses - Main Site</t>
  </si>
  <si>
    <t xml:space="preserve">B-TO-C SERVICES: REVENUE </t>
  </si>
  <si>
    <t>year 1 launch</t>
  </si>
  <si>
    <t>year 2 launch</t>
  </si>
  <si>
    <t>High cost of data collection</t>
  </si>
  <si>
    <t>TOTAL REVENUE</t>
  </si>
  <si>
    <t>SMS ALERTS</t>
  </si>
  <si>
    <t xml:space="preserve"> (mobile revenue opportunities for news alerts via the cellphone)</t>
  </si>
  <si>
    <t>- commission on alerts from carrier</t>
  </si>
  <si>
    <t>Number of UV</t>
  </si>
  <si>
    <t>Number of alerts / UV / mth</t>
  </si>
  <si>
    <t>Carrier charge to customer</t>
  </si>
  <si>
    <t>Typically, cost is $.10-$.15; we reduced because the cost is lower for monthly plan subscribers (could go as low as $.01)</t>
  </si>
  <si>
    <t>Commission / alert to NNO</t>
  </si>
  <si>
    <t>SPECIAL / THEMED ISSUES</t>
  </si>
  <si>
    <t xml:space="preserve"> (for example, list of all consumer goods companies in the state, list of all doctor offices by county, list of all elementary schools by county, list of all sports clubs by county, list of all nannies / childcare by county, list of all car dealers by county, etc.)</t>
  </si>
  <si>
    <t>http://www.boston.com/business/globe/articles/2007/11/06/online_figures/</t>
  </si>
  <si>
    <t xml:space="preserve">Inventory sold </t>
  </si>
  <si>
    <t>- reduction for inventory sold</t>
  </si>
  <si>
    <t>- free for the HTML teaser with the first 10 addresses</t>
  </si>
  <si>
    <t>Service development</t>
  </si>
  <si>
    <t>each year add 10 more tutorials</t>
  </si>
  <si>
    <t>Sales commission only on in-person training</t>
  </si>
  <si>
    <t>- Sales %</t>
  </si>
  <si>
    <t xml:space="preserve">- Sales commission </t>
  </si>
  <si>
    <t>In-person training session costs</t>
  </si>
  <si>
    <t>- Number of training sessions</t>
  </si>
  <si>
    <t>- Room rental / session</t>
  </si>
  <si>
    <t>- Computers (10) / session</t>
  </si>
  <si>
    <t>- Trainer / session</t>
  </si>
  <si>
    <t>Sales commission only on white-label system</t>
  </si>
  <si>
    <t>Gross cost / e-newsletter / month</t>
  </si>
  <si>
    <t>B-TO-B SERVICES: PROFIT</t>
  </si>
  <si>
    <t>SITE BUILDER</t>
  </si>
  <si>
    <t>STAFFING</t>
  </si>
  <si>
    <t>Compensation Load Factor</t>
  </si>
  <si>
    <t>TOTAL STAFFING: MAIN SITE + B-TO-C SERVICES + B-TO-B SERVICES (SEE BELOW FOR BREAKOUT BY AREA AND REVENUE STREAM)</t>
  </si>
  <si>
    <t>Base *</t>
  </si>
  <si>
    <t>Journalist/Community Mgr/Blogger</t>
  </si>
  <si>
    <t>Other editorial staff (top editor, factcheckers, etc)</t>
  </si>
  <si>
    <t>Freelance Sales (base, no commission factored here)</t>
  </si>
  <si>
    <t>Sales team</t>
  </si>
  <si>
    <t>MANAGEMENT, ADMIN &amp; SERVICES</t>
  </si>
  <si>
    <t>CEO/COO/CFO</t>
  </si>
  <si>
    <t>Business Head</t>
  </si>
  <si>
    <t>Project Manager</t>
  </si>
  <si>
    <t>Researcher</t>
  </si>
  <si>
    <t>Number of sponsorships / year</t>
  </si>
  <si>
    <t>% of sponsorship inventory sold</t>
  </si>
  <si>
    <t>Sponsorship revenue</t>
  </si>
  <si>
    <t>DEVELOPMENT</t>
  </si>
  <si>
    <t>TOTAL - Development</t>
  </si>
  <si>
    <t>Development</t>
  </si>
  <si>
    <t>Monthly page views</t>
  </si>
  <si>
    <t>CPC revenue</t>
  </si>
  <si>
    <t>CTR</t>
  </si>
  <si>
    <t>SALARIES</t>
  </si>
  <si>
    <t>Assumptions</t>
  </si>
  <si>
    <t>REVENUE</t>
  </si>
  <si>
    <t>EXPENSES</t>
  </si>
  <si>
    <t>B-to-C services</t>
  </si>
  <si>
    <t>SMS alerts</t>
  </si>
  <si>
    <t>Special/Themed issues</t>
  </si>
  <si>
    <t>Events</t>
  </si>
  <si>
    <t>Local coupon service</t>
  </si>
  <si>
    <t>Donation system for watchdog journalism</t>
  </si>
  <si>
    <t>Twitter coupons</t>
  </si>
  <si>
    <t>Listing sales of local businesses</t>
  </si>
  <si>
    <t>Tickets for local events / entertainment</t>
  </si>
  <si>
    <t>Local websites for targeted markets / communities</t>
  </si>
  <si>
    <t>Series of iPhone apps</t>
  </si>
  <si>
    <t>Local shopping comparison app</t>
  </si>
  <si>
    <t>Subtotal</t>
  </si>
  <si>
    <t>B-to-B services</t>
  </si>
  <si>
    <t>Listing sales from local businesses</t>
  </si>
  <si>
    <t>Marketplace</t>
  </si>
  <si>
    <t>(online place where businesses submit RFPs and other businesses respond to and bid on the RFPs)</t>
  </si>
  <si>
    <t>(service to help local businesses send an email campaign for promotion purposes-- essentially a digital direct marketing campaign)</t>
  </si>
  <si>
    <t>Average fee / online tutorials</t>
  </si>
  <si>
    <t>Average number of trainings attended</t>
  </si>
  <si>
    <t>Average fee / training</t>
  </si>
  <si>
    <t>WHITE-LABEL SYSTEM FOR ONLINE TRAINING</t>
  </si>
  <si>
    <t>Number of clients</t>
  </si>
  <si>
    <t>Fee / month</t>
  </si>
  <si>
    <t>% Revenue realization in year for start-up year</t>
  </si>
  <si>
    <t>Online tutorials</t>
  </si>
  <si>
    <t>In-person training sessions</t>
  </si>
  <si>
    <t>White-label system</t>
  </si>
  <si>
    <t>ONLINE SUBSCRIPTION TO WEEKLY E-NEWSLETTERS</t>
  </si>
  <si>
    <t>(only possible if the local area has a major industry or industries; create industry newsletter)</t>
  </si>
  <si>
    <t>- annual subscription for newsletter(s)</t>
  </si>
  <si>
    <t>% of businesses in target industry</t>
  </si>
  <si>
    <t>Number of businesses in target industry</t>
  </si>
  <si>
    <t>% of businesses subscribing</t>
  </si>
  <si>
    <t>Number of businesses subscribing / industry</t>
  </si>
  <si>
    <t>Average sub / newsletter</t>
  </si>
  <si>
    <t>BUSINESSES FOR SALE AND FUNDING</t>
  </si>
  <si>
    <t>(online place where businesses list their own for sale; and where businesses request funding)</t>
  </si>
  <si>
    <t>- one-time flat fee payment to respond to any posting</t>
  </si>
  <si>
    <t>- one-time flat fee payment to post request for funding (3 pricing tiers dependent on the amount of funding requested)</t>
  </si>
  <si>
    <t>- 2 options: with or without store / payment system (model amazon store)</t>
  </si>
  <si>
    <t>Wages and benefits</t>
  </si>
  <si>
    <t>SUBTOTAL</t>
  </si>
  <si>
    <t>SubTotal</t>
  </si>
  <si>
    <t>Start-up</t>
  </si>
  <si>
    <t xml:space="preserve">SubTotal </t>
  </si>
  <si>
    <t>Year 1</t>
  </si>
  <si>
    <t>Year 2</t>
  </si>
  <si>
    <t>Year 3</t>
  </si>
  <si>
    <t>CPC</t>
  </si>
  <si>
    <t>Mth 1</t>
  </si>
  <si>
    <t>Mth 2</t>
  </si>
  <si>
    <t>Mth 3</t>
  </si>
  <si>
    <t>Mth 4</t>
  </si>
  <si>
    <t>SUBSCRIPTIONS</t>
  </si>
  <si>
    <t>ADVERTISING</t>
  </si>
  <si>
    <t>INCOME STATEMENT</t>
  </si>
  <si>
    <t>Notes</t>
  </si>
  <si>
    <t>(idea is to be central / go-to place for all local events)</t>
  </si>
  <si>
    <t>Monthly unique visitors</t>
  </si>
  <si>
    <t>HEADCOUNT</t>
  </si>
  <si>
    <t>Marketing &amp; Sales Staff</t>
  </si>
  <si>
    <t>Sponsorship</t>
  </si>
  <si>
    <t>Total Year 1</t>
  </si>
  <si>
    <t>Compensation Annual Increase</t>
  </si>
  <si>
    <t>TOTAL STAFF COUNT / SALARIES</t>
  </si>
  <si>
    <t>TOTAL - Editorial Staff</t>
  </si>
  <si>
    <t>Traffic</t>
  </si>
  <si>
    <t>TOTAL</t>
  </si>
  <si>
    <t>Distribution cost / issue</t>
  </si>
  <si>
    <t>Space rental / conference</t>
  </si>
  <si>
    <t>Space staff budget / conference</t>
  </si>
  <si>
    <t>Sales commission / conference</t>
  </si>
  <si>
    <t>- one-time flat fee to build the site</t>
  </si>
  <si>
    <t>Start with 20 tutorials and white-label system</t>
  </si>
  <si>
    <t>Businesses participating</t>
  </si>
  <si>
    <t>MARKETPLACE</t>
  </si>
  <si>
    <t>- NOTE: will also be able to find the local government RFPs (local and state)</t>
  </si>
  <si>
    <t>% of businesses submit RFPs (&gt;3)</t>
  </si>
  <si>
    <t>Number of businesses submit RFPs (&gt;3)</t>
  </si>
  <si>
    <t>% of businesses submitting- one-time</t>
  </si>
  <si>
    <t>Number of businesses submitting- one-time</t>
  </si>
  <si>
    <t>% of businesses submitting- annual sub</t>
  </si>
  <si>
    <t>Number of businesses submitting- annual sub</t>
  </si>
  <si>
    <t>% of businesses responding to RFP</t>
  </si>
  <si>
    <t>Number of businesses responding</t>
  </si>
  <si>
    <t>% of businesses responding- one-time</t>
  </si>
  <si>
    <t>Number of businesses respond- one-time</t>
  </si>
  <si>
    <t>% of businesses responding- annual sub</t>
  </si>
  <si>
    <t>Number of businesses respond- annual sub</t>
  </si>
  <si>
    <t>Average number of submissions / business</t>
  </si>
  <si>
    <t>Average fee / submission</t>
  </si>
  <si>
    <t>Annual sub fee for submissions</t>
  </si>
  <si>
    <t>Average number of responses / business</t>
  </si>
  <si>
    <t>Average fee / response</t>
  </si>
  <si>
    <t>Annual sub fee for responses</t>
  </si>
  <si>
    <t>Number of UV for main site</t>
  </si>
  <si>
    <t>Number of UV for marketplace</t>
  </si>
  <si>
    <t>Graphic Designer</t>
  </si>
  <si>
    <t>Admin</t>
  </si>
  <si>
    <t>Payroll/Tech Support/ Other</t>
  </si>
  <si>
    <t>TOTAL - Management &amp; Admin</t>
  </si>
  <si>
    <t>SEO</t>
  </si>
  <si>
    <t>DBA</t>
  </si>
  <si>
    <t>Developer</t>
  </si>
  <si>
    <t>TOTAL ANNUAL SALARY COST</t>
  </si>
  <si>
    <t>NOTE: * $6,500 / month average salary across NNO team</t>
  </si>
  <si>
    <t>MAIN SITE: STAFFING</t>
  </si>
  <si>
    <t>Payroll/Tech Support/Other Admin</t>
  </si>
  <si>
    <t>B-TO-C SERVICES: STAFFING</t>
  </si>
  <si>
    <t>Base</t>
  </si>
  <si>
    <t>SPECIAL/THEMED ISSUES</t>
  </si>
  <si>
    <t>Project manager (P/T)</t>
  </si>
  <si>
    <t xml:space="preserve">TOTAL </t>
  </si>
  <si>
    <t>Researcher- address qualification</t>
  </si>
  <si>
    <t>Admin/Customer Service</t>
  </si>
  <si>
    <t>LOCAL WEBSITES</t>
  </si>
  <si>
    <t>Business head</t>
  </si>
  <si>
    <t>Editorial team</t>
  </si>
  <si>
    <t>Community manager</t>
  </si>
  <si>
    <t>Sales team(base salary; no commission)</t>
  </si>
  <si>
    <t>Graphic designer</t>
  </si>
  <si>
    <t>B-TO-B SERVICES: STAFFING</t>
  </si>
  <si>
    <t>LISTING SALES- LOCAL BUSINESSES</t>
  </si>
  <si>
    <t>Project manager / Journalist</t>
  </si>
  <si>
    <t>Business head / Sales</t>
  </si>
  <si>
    <t>TRAINING IN SALES &amp; MARKETING</t>
  </si>
  <si>
    <t>Total e-newsletter services</t>
  </si>
  <si>
    <t>Number of new e-newsletter services</t>
  </si>
  <si>
    <t>Number of recurring e-news svcs</t>
  </si>
  <si>
    <t xml:space="preserve"> (i.e. Moms, Seniors, Ethnic Groups, Sports / Passions)</t>
  </si>
  <si>
    <t>% of businesses for training- online tutorials</t>
  </si>
  <si>
    <t>Number of businesses- online tutorials</t>
  </si>
  <si>
    <t>% of businesses for training- in-person</t>
  </si>
  <si>
    <t>Number of businesses- in-person</t>
  </si>
  <si>
    <t>Average number of tutorials taken</t>
  </si>
  <si>
    <t>Purchase cost / address</t>
  </si>
  <si>
    <t>Staff</t>
  </si>
  <si>
    <t>Team: Manager, editorial, sales, development</t>
  </si>
  <si>
    <t>Sales commission %</t>
  </si>
  <si>
    <t>- Sales commission / site launch in y2</t>
  </si>
  <si>
    <t>- Sales commission / site launch in y3</t>
  </si>
  <si>
    <t>- Sales commission TOTAL</t>
  </si>
  <si>
    <t>Citizen journalism network</t>
  </si>
  <si>
    <t>produce 50% of content</t>
  </si>
  <si>
    <t>- % of PV / site</t>
  </si>
  <si>
    <t>- Ad revenue sharing % / site</t>
  </si>
  <si>
    <t>- Income to the citizen journalists / site launch in yr2</t>
  </si>
  <si>
    <t>- Income to the citizen journalists / site launch in yr3</t>
  </si>
  <si>
    <t>- Income to the citizen journalists TOTAL</t>
  </si>
  <si>
    <t>Marketing budget</t>
  </si>
  <si>
    <t>Using same assumptions as in main site</t>
  </si>
  <si>
    <t>- Rent &amp; Utilites / site launch in yr2</t>
  </si>
  <si>
    <t>- Rent &amp; Utilites / site launch in yr3</t>
  </si>
  <si>
    <t>- Rent &amp; Utilites TOTAL</t>
  </si>
  <si>
    <t>Hosting</t>
  </si>
  <si>
    <t xml:space="preserve">B-TO-B SERVICES: REVENUE </t>
  </si>
  <si>
    <t>Conferences</t>
  </si>
  <si>
    <t>Don't do due to strong competition</t>
  </si>
  <si>
    <t>Not included in this model</t>
  </si>
  <si>
    <t>GENERAL ASSUMPTIONS</t>
  </si>
  <si>
    <t>LISTING SALES FROM LOCAL BUSINESSES</t>
  </si>
  <si>
    <t>- print titles with top lists</t>
  </si>
  <si>
    <t>% of businesses for sale</t>
  </si>
  <si>
    <t>Number of businesses for sale</t>
  </si>
  <si>
    <t>% of businesses for sale- &gt;$1M</t>
  </si>
  <si>
    <t>% of businesses for sale- bet $500K-$1M</t>
  </si>
  <si>
    <t>% of businesses for sale- &lt;$500K</t>
  </si>
  <si>
    <t>% of businesses seeking funding</t>
  </si>
  <si>
    <t>Number of businesses seeking funding</t>
  </si>
  <si>
    <t>% of businesses for funds- &gt;$1M</t>
  </si>
  <si>
    <t>% of businesses for funds- bet $500K-$1M</t>
  </si>
  <si>
    <t>% of businesses for funds- &lt;$500K</t>
  </si>
  <si>
    <t>% of businesses responding</t>
  </si>
  <si>
    <t>Average fee / sale post</t>
  </si>
  <si>
    <t xml:space="preserve"> &gt;$1M</t>
  </si>
  <si>
    <t>bet $500K-$1M</t>
  </si>
  <si>
    <t xml:space="preserve"> &lt;$500K</t>
  </si>
  <si>
    <t>Average fee / funds post</t>
  </si>
  <si>
    <t>Businesses for sale posts</t>
  </si>
  <si>
    <t>Businesses seeking funding posts</t>
  </si>
  <si>
    <t>Businesses responding</t>
  </si>
  <si>
    <t>EMAIL CAMPAIGN SERVICE</t>
  </si>
  <si>
    <t>- upfront set-up fee (which includes providing results)</t>
  </si>
  <si>
    <t>- price per email</t>
  </si>
  <si>
    <t>% of businesses for email campaign</t>
  </si>
  <si>
    <t>Average number of times for campaign</t>
  </si>
  <si>
    <t>Average number of emails / campaign</t>
  </si>
  <si>
    <t>Average fee / email</t>
  </si>
  <si>
    <t>B-TO-B SERVICES: EXPENSES</t>
  </si>
  <si>
    <t>Distribution / copy sold</t>
  </si>
  <si>
    <t>Number of business participating that present</t>
  </si>
  <si>
    <t>Average price / ticket / conf / business</t>
  </si>
  <si>
    <t>Average number of people / business</t>
  </si>
  <si>
    <t>Average booth fee/ conf / business</t>
  </si>
  <si>
    <t>Average fee / business to present</t>
  </si>
  <si>
    <t>Businesses attending</t>
  </si>
  <si>
    <t>Revenue base for citizen journalists for 1 site</t>
  </si>
  <si>
    <t>SERIES OF IPHONE APPS</t>
  </si>
  <si>
    <t xml:space="preserve"> (sports apps for the local teams )</t>
  </si>
  <si>
    <t>- purchase of the app</t>
  </si>
  <si>
    <t>% of adults interested in sports</t>
  </si>
  <si>
    <t>% of adults purchasing app launch in yr 2</t>
  </si>
  <si>
    <t>Number of adults purchasing app launch in yr2</t>
  </si>
  <si>
    <t>% of adults purchasing app launch in yr 3</t>
  </si>
  <si>
    <t>Number of adults purchasing app launch yr3</t>
  </si>
  <si>
    <t>Number of apps</t>
  </si>
  <si>
    <t>Price of app</t>
  </si>
  <si>
    <t>LOCAL SHOPPING COMPARISON APP: DON'T THINK IT'S DOABLE DUE TO COST OF DATA COLLECTION</t>
  </si>
  <si>
    <t>(compare prices in local area among merchants; show location)</t>
  </si>
  <si>
    <t>- annual subscription for local businesses to be in the database</t>
  </si>
  <si>
    <t>- basic app is free for consumers</t>
  </si>
  <si>
    <t>- subscription for consumers to access full answers (partial answer showing the price, but not location is free)</t>
  </si>
  <si>
    <t>% of adults using basic app</t>
  </si>
  <si>
    <t>% of adults using full app</t>
  </si>
  <si>
    <t>Average annual sub for full app / person</t>
  </si>
  <si>
    <t>Number of PV</t>
  </si>
  <si>
    <t>Ad revenue</t>
  </si>
  <si>
    <t>Subscriptions</t>
  </si>
  <si>
    <t>SITE BUILDER: DON'T DO DUE TO STRONG COMPETITION</t>
  </si>
  <si>
    <t>- one-time low flat fee to build the site</t>
  </si>
  <si>
    <t>- additional flat fee to build the store</t>
  </si>
  <si>
    <t>- annual subscription to maintain the site</t>
  </si>
  <si>
    <t>- percentage of all sales</t>
  </si>
  <si>
    <t>% of businesses to build site</t>
  </si>
  <si>
    <t>Number of businesses to build site</t>
  </si>
  <si>
    <t>% of businesses that need site + store</t>
  </si>
  <si>
    <t>Number of businesses that need site + store</t>
  </si>
  <si>
    <t>Average fee / set-up site</t>
  </si>
  <si>
    <t>Average fee / set-up site and store</t>
  </si>
  <si>
    <t>Monthly subscription</t>
  </si>
  <si>
    <t>% of sales</t>
  </si>
  <si>
    <t>- $ / PV / store</t>
  </si>
  <si>
    <t>- Average PV / store</t>
  </si>
  <si>
    <t>- Commission %</t>
  </si>
  <si>
    <t>Businesses to build site</t>
  </si>
  <si>
    <t>Businesses to build site + store</t>
  </si>
  <si>
    <t>TRAINING IN SALES &amp; MARKETING FOR LOCAL BUSINESSES</t>
  </si>
  <si>
    <t>- online tutorials-- fee / tutorial</t>
  </si>
  <si>
    <t>- training in-person-- one-time flat fee to attend training session</t>
  </si>
  <si>
    <t>- white-label system for online training</t>
  </si>
  <si>
    <t>AT LOCAL NNO</t>
  </si>
  <si>
    <t>Number of businesses in database</t>
  </si>
  <si>
    <t>Average annual sub / business</t>
  </si>
  <si>
    <t>Consumer revenue</t>
  </si>
  <si>
    <t>Business revenue</t>
  </si>
  <si>
    <t>B-TO-C SERVICES: PROFIT</t>
  </si>
  <si>
    <t>Revenue</t>
  </si>
  <si>
    <t>Expenses</t>
  </si>
  <si>
    <t>LISTING SALES OF LOCAL BUSINESSES: DON'T THINK THAT THERE IS A SUBSTANTIVE BUSINESS DUE TO FIERCE COMPETITION (YP.COM)</t>
  </si>
  <si>
    <t>B-TO-C SERVICES: EXPENSES</t>
  </si>
  <si>
    <t>Start-up cost</t>
  </si>
  <si>
    <t>To pay person to put the deal in place</t>
  </si>
  <si>
    <t>Ongoing costs</t>
  </si>
  <si>
    <t>For editorial and design concept, and advertising strategy/materials</t>
  </si>
  <si>
    <t>Project manager</t>
  </si>
  <si>
    <t>Sales commission only (% of ad revenue)</t>
  </si>
  <si>
    <t>Sales commission / issue</t>
  </si>
  <si>
    <t>Pre-press / issue</t>
  </si>
  <si>
    <t>Design cost; most of the copy is the aggregation of content; other editorial costs covered by project manager who is also a journalist</t>
  </si>
  <si>
    <t>Printing (52 pages) / issue</t>
  </si>
  <si>
    <t>Distribution / issue</t>
  </si>
  <si>
    <t>Avg 100 copies / location  = 500 locations; drop every 15 min; 16 people; $10/hr + gas/truck/organization = $25/hr</t>
  </si>
  <si>
    <t>Space rental / event</t>
  </si>
  <si>
    <t>Space staff budget / event</t>
  </si>
  <si>
    <t>Sales commission only (% of sponsor revenue)</t>
  </si>
  <si>
    <t>Sales commission / event</t>
  </si>
  <si>
    <t>Start-up and ongoing costs</t>
  </si>
  <si>
    <t>Minimal costs to start and maintain</t>
  </si>
  <si>
    <t>Number of addresses purchased</t>
  </si>
  <si>
    <t>% of businesses that buy a listing</t>
  </si>
  <si>
    <t>Number of businesses that buy a listing</t>
  </si>
  <si>
    <t>Number of print titles</t>
  </si>
  <si>
    <t>Number of copies / title</t>
  </si>
  <si>
    <t>% of copies sold</t>
  </si>
  <si>
    <t>Price per copy</t>
  </si>
  <si>
    <t>Number of total pages</t>
  </si>
  <si>
    <t>% of ad pages</t>
  </si>
  <si>
    <t>Online sales</t>
  </si>
  <si>
    <t>Print sales</t>
  </si>
  <si>
    <t>CONFERENCES</t>
  </si>
  <si>
    <t>(organization of themed conferences, like real estate conferences, car sales conferences, financial services conferences, seniors conferences, healthcare conferences)</t>
  </si>
  <si>
    <t>- ticket sales to enter the conferences</t>
  </si>
  <si>
    <t>- booth fee for local business</t>
  </si>
  <si>
    <t>- fee for local businesses to present at the conference</t>
  </si>
  <si>
    <t>% of businesses in target market / conference</t>
  </si>
  <si>
    <t>% of businesses to go to a conference</t>
  </si>
  <si>
    <t>Number of businesses that go to a conference</t>
  </si>
  <si>
    <t>% of businesses participating in a conference</t>
  </si>
  <si>
    <t>Number of businesses participating in a conference</t>
  </si>
  <si>
    <t>% of businesses participating that present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</si>
</sst>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quot;$&quot;#,##0"/>
    <numFmt numFmtId="171" formatCode="#,##0;[Red]#,##0"/>
    <numFmt numFmtId="172" formatCode="[$-409]mmmm\-yy;@"/>
    <numFmt numFmtId="173" formatCode="_(* #,##0_);_(* \(#,##0\);_(* &quot;-&quot;??_);_(@_)"/>
    <numFmt numFmtId="174" formatCode="[$-409]dddd\,\ mmmm\ dd\,\ yyyy"/>
    <numFmt numFmtId="175" formatCode="&quot;$&quot;#,##0;[Red]&quot;$&quot;#,##0"/>
    <numFmt numFmtId="176" formatCode="&quot;$&quot;#,##0.0000;[Red]&quot;$&quot;#,##0.0000"/>
    <numFmt numFmtId="177" formatCode="&quot;$&quot;#,##0.0;[Red]&quot;$&quot;#,##0.0"/>
    <numFmt numFmtId="178" formatCode="&quot;$&quot;#,##0.00;[Red]&quot;$&quot;#,##0.00"/>
    <numFmt numFmtId="179" formatCode="&quot;$&quot;#,##0.000;[Red]&quot;$&quot;#,##0.000"/>
    <numFmt numFmtId="180" formatCode="&quot;$&quot;#,##0.00"/>
    <numFmt numFmtId="181" formatCode="_(&quot;$&quot;* #,##0_);_(&quot;$&quot;* \(#,##0\);_(&quot;$&quot;* &quot;-&quot;??_);_(@_)"/>
    <numFmt numFmtId="182" formatCode="_(&quot;$&quot;* #,##0.0_);_(&quot;$&quot;* \(#,##0.0\);_(&quot;$&quot;* &quot;-&quot;??_);_(@_)"/>
    <numFmt numFmtId="183" formatCode="_(* #,##0.0_);_(* \(#,##0.0\);_(* &quot;-&quot;??_);_(@_)"/>
    <numFmt numFmtId="184" formatCode="0.0"/>
    <numFmt numFmtId="185" formatCode="0.000%"/>
    <numFmt numFmtId="186" formatCode="_(&quot;$&quot;* #,##0.000_);_(&quot;$&quot;* \(#,##0.000\);_(&quot;$&quot;* &quot;-&quot;??_);_(@_)"/>
    <numFmt numFmtId="187" formatCode="_(&quot;$&quot;* #,##0.0000_);_(&quot;$&quot;* \(#,##0.0000\);_(&quot;$&quot;* &quot;-&quot;??_);_(@_)"/>
    <numFmt numFmtId="188" formatCode="_(* #,##0.0_);_(* \(#,##0.0\);_(* &quot;-&quot;?_);_(@_)"/>
    <numFmt numFmtId="189" formatCode="0.000"/>
    <numFmt numFmtId="190" formatCode="_(* #,##0_);_(* \(#,##0\);_(* &quot;-&quot;?_);_(@_)"/>
    <numFmt numFmtId="191" formatCode="0.0000"/>
    <numFmt numFmtId="192" formatCode="_(* #,##0.000_);_(* \(#,##0.000\);_(* &quot;-&quot;??_);_(@_)"/>
    <numFmt numFmtId="193" formatCode="0.0000000"/>
    <numFmt numFmtId="194" formatCode="0.000000"/>
    <numFmt numFmtId="195" formatCode="0.00000"/>
    <numFmt numFmtId="196" formatCode="&quot;$&quot;#,##0.0_);[Red]\(&quot;$&quot;#,##0.0\)"/>
    <numFmt numFmtId="197" formatCode="#,##0.0"/>
    <numFmt numFmtId="198" formatCode="_(* #,##0.0000_);_(* \(#,##0.0000\);_(* &quot;-&quot;??_);_(@_)"/>
    <numFmt numFmtId="199" formatCode="0.000000000000000%"/>
    <numFmt numFmtId="200" formatCode="0.00000000"/>
  </numFmts>
  <fonts count="15">
    <font>
      <sz val="10"/>
      <name val="Arial"/>
      <family val="2"/>
    </font>
    <font>
      <sz val="8"/>
      <name val="Arial"/>
      <family val="0"/>
    </font>
    <font>
      <u val="single"/>
      <sz val="10"/>
      <color indexed="12"/>
      <name val="Arial"/>
      <family val="0"/>
    </font>
    <font>
      <u val="single"/>
      <sz val="10"/>
      <color indexed="36"/>
      <name val="Arial"/>
      <family val="0"/>
    </font>
    <font>
      <sz val="8"/>
      <name val="Verdana"/>
      <family val="0"/>
    </font>
    <font>
      <sz val="9"/>
      <name val="Arial"/>
      <family val="0"/>
    </font>
    <font>
      <b/>
      <sz val="9"/>
      <name val="Arial"/>
      <family val="0"/>
    </font>
    <font>
      <sz val="10"/>
      <name val="Calibri"/>
      <family val="2"/>
    </font>
    <font>
      <b/>
      <sz val="10"/>
      <name val="Calibri"/>
      <family val="2"/>
    </font>
    <font>
      <sz val="8"/>
      <name val="Calibri"/>
      <family val="2"/>
    </font>
    <font>
      <i/>
      <sz val="8"/>
      <name val="Calibri"/>
      <family val="2"/>
    </font>
    <font>
      <i/>
      <sz val="10"/>
      <name val="Calibri"/>
      <family val="2"/>
    </font>
    <font>
      <sz val="10"/>
      <color indexed="10"/>
      <name val="Calibri"/>
      <family val="2"/>
    </font>
    <font>
      <b/>
      <i/>
      <sz val="10"/>
      <name val="Calibri"/>
      <family val="2"/>
    </font>
    <font>
      <b/>
      <sz val="8"/>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6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s>
  <borders count="37">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color indexed="63"/>
      </top>
      <bottom style="double"/>
    </border>
    <border>
      <left style="medium"/>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181" fontId="7" fillId="2" borderId="1" xfId="17" applyNumberFormat="1" applyFont="1" applyFill="1" applyBorder="1" applyAlignment="1">
      <alignment/>
    </xf>
    <xf numFmtId="168" fontId="7" fillId="0" borderId="0" xfId="21" applyNumberFormat="1" applyFont="1" applyBorder="1" applyAlignment="1">
      <alignment/>
    </xf>
    <xf numFmtId="168" fontId="7" fillId="0" borderId="1" xfId="21" applyNumberFormat="1" applyFont="1" applyBorder="1" applyAlignment="1">
      <alignment/>
    </xf>
    <xf numFmtId="181" fontId="7" fillId="2" borderId="0" xfId="17" applyNumberFormat="1" applyFont="1" applyFill="1" applyBorder="1" applyAlignment="1">
      <alignment/>
    </xf>
    <xf numFmtId="3" fontId="10" fillId="0" borderId="2" xfId="0" applyNumberFormat="1" applyFont="1" applyBorder="1" applyAlignment="1">
      <alignment/>
    </xf>
    <xf numFmtId="181" fontId="7" fillId="0" borderId="0" xfId="17" applyNumberFormat="1" applyFont="1" applyAlignment="1">
      <alignment/>
    </xf>
    <xf numFmtId="44" fontId="7" fillId="0" borderId="0" xfId="17" applyFont="1" applyBorder="1" applyAlignment="1">
      <alignment/>
    </xf>
    <xf numFmtId="9" fontId="7" fillId="0" borderId="0" xfId="21" applyFont="1" applyFill="1" applyBorder="1" applyAlignment="1">
      <alignment/>
    </xf>
    <xf numFmtId="9" fontId="7" fillId="0" borderId="1" xfId="21" applyFont="1" applyFill="1" applyBorder="1" applyAlignment="1">
      <alignment/>
    </xf>
    <xf numFmtId="9" fontId="7" fillId="0" borderId="0" xfId="21" applyFont="1" applyAlignment="1">
      <alignment/>
    </xf>
    <xf numFmtId="173" fontId="7" fillId="0" borderId="0" xfId="15" applyNumberFormat="1" applyFont="1" applyBorder="1" applyAlignment="1">
      <alignment/>
    </xf>
    <xf numFmtId="44" fontId="7" fillId="0" borderId="0" xfId="17" applyNumberFormat="1" applyFont="1" applyBorder="1" applyAlignment="1">
      <alignment/>
    </xf>
    <xf numFmtId="3" fontId="7" fillId="0" borderId="1" xfId="0" applyNumberFormat="1" applyFont="1" applyBorder="1" applyAlignment="1">
      <alignment horizontal="right" vertical="top" wrapText="1"/>
    </xf>
    <xf numFmtId="3" fontId="7" fillId="0" borderId="2" xfId="0" applyNumberFormat="1" applyFont="1" applyBorder="1" applyAlignment="1" quotePrefix="1">
      <alignment/>
    </xf>
    <xf numFmtId="3" fontId="7" fillId="0" borderId="1" xfId="0" applyNumberFormat="1" applyFont="1" applyBorder="1" applyAlignment="1">
      <alignment/>
    </xf>
    <xf numFmtId="3" fontId="7" fillId="0" borderId="2" xfId="0" applyNumberFormat="1" applyFont="1" applyBorder="1" applyAlignment="1">
      <alignment/>
    </xf>
    <xf numFmtId="9" fontId="7" fillId="0" borderId="0" xfId="21" applyFont="1" applyBorder="1" applyAlignment="1">
      <alignment/>
    </xf>
    <xf numFmtId="9" fontId="7" fillId="0" borderId="1" xfId="21" applyFont="1" applyBorder="1" applyAlignment="1">
      <alignment/>
    </xf>
    <xf numFmtId="3" fontId="7" fillId="0" borderId="3" xfId="0" applyNumberFormat="1" applyFont="1" applyBorder="1" applyAlignment="1">
      <alignment/>
    </xf>
    <xf numFmtId="3" fontId="7" fillId="0" borderId="4" xfId="0" applyNumberFormat="1" applyFont="1" applyBorder="1" applyAlignment="1">
      <alignment/>
    </xf>
    <xf numFmtId="3" fontId="7" fillId="0" borderId="5" xfId="0" applyNumberFormat="1" applyFont="1" applyBorder="1" applyAlignment="1">
      <alignment/>
    </xf>
    <xf numFmtId="3" fontId="7" fillId="0" borderId="6" xfId="0" applyNumberFormat="1" applyFont="1" applyFill="1" applyBorder="1" applyAlignment="1">
      <alignment horizontal="center"/>
    </xf>
    <xf numFmtId="181" fontId="7" fillId="0" borderId="0" xfId="17" applyNumberFormat="1" applyFont="1" applyBorder="1" applyAlignment="1">
      <alignment/>
    </xf>
    <xf numFmtId="3" fontId="8" fillId="0" borderId="2" xfId="0" applyNumberFormat="1"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Fill="1" applyBorder="1" applyAlignment="1">
      <alignment vertical="top" wrapText="1"/>
    </xf>
    <xf numFmtId="3" fontId="8" fillId="0" borderId="0" xfId="0" applyNumberFormat="1" applyFont="1" applyFill="1" applyBorder="1" applyAlignment="1">
      <alignment horizontal="right" vertical="top" wrapText="1"/>
    </xf>
    <xf numFmtId="3" fontId="7" fillId="0" borderId="0" xfId="0" applyNumberFormat="1" applyFont="1" applyFill="1" applyBorder="1" applyAlignment="1">
      <alignment horizontal="right" vertical="top" wrapText="1"/>
    </xf>
    <xf numFmtId="3" fontId="7" fillId="0" borderId="0" xfId="0" applyNumberFormat="1" applyFont="1" applyAlignment="1">
      <alignment/>
    </xf>
    <xf numFmtId="0" fontId="7" fillId="0" borderId="1" xfId="0" applyFont="1" applyFill="1" applyBorder="1" applyAlignment="1">
      <alignment vertical="top" wrapText="1"/>
    </xf>
    <xf numFmtId="0" fontId="7" fillId="0" borderId="2" xfId="0" applyFont="1" applyBorder="1" applyAlignment="1">
      <alignment/>
    </xf>
    <xf numFmtId="0" fontId="7" fillId="0" borderId="7" xfId="0" applyFont="1" applyFill="1" applyBorder="1" applyAlignment="1">
      <alignment/>
    </xf>
    <xf numFmtId="0" fontId="7" fillId="0" borderId="8" xfId="0" applyFont="1" applyFill="1" applyBorder="1" applyAlignment="1">
      <alignment/>
    </xf>
    <xf numFmtId="3" fontId="7" fillId="0" borderId="8" xfId="0" applyNumberFormat="1" applyFont="1" applyFill="1" applyBorder="1" applyAlignment="1">
      <alignment/>
    </xf>
    <xf numFmtId="0" fontId="8" fillId="0" borderId="0" xfId="0" applyFont="1" applyBorder="1" applyAlignment="1">
      <alignment vertical="top" wrapText="1"/>
    </xf>
    <xf numFmtId="3" fontId="8" fillId="0" borderId="0" xfId="0" applyNumberFormat="1" applyFont="1" applyBorder="1" applyAlignment="1">
      <alignment horizontal="right" vertical="top" wrapText="1"/>
    </xf>
    <xf numFmtId="0" fontId="7" fillId="0" borderId="7" xfId="0" applyFont="1" applyBorder="1" applyAlignment="1">
      <alignment/>
    </xf>
    <xf numFmtId="3" fontId="7" fillId="0" borderId="9" xfId="0" applyNumberFormat="1" applyFont="1" applyBorder="1" applyAlignment="1">
      <alignment/>
    </xf>
    <xf numFmtId="3" fontId="7" fillId="0" borderId="2" xfId="0" applyNumberFormat="1" applyFont="1" applyFill="1" applyBorder="1" applyAlignment="1">
      <alignment horizontal="center"/>
    </xf>
    <xf numFmtId="3" fontId="7" fillId="0" borderId="0" xfId="0" applyNumberFormat="1" applyFont="1" applyFill="1" applyBorder="1" applyAlignment="1">
      <alignment horizontal="center"/>
    </xf>
    <xf numFmtId="3" fontId="7" fillId="0" borderId="2"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Fill="1" applyBorder="1" applyAlignment="1">
      <alignment vertical="top" wrapText="1"/>
    </xf>
    <xf numFmtId="0" fontId="7" fillId="0" borderId="0" xfId="0" applyFont="1" applyFill="1" applyBorder="1" applyAlignment="1">
      <alignment/>
    </xf>
    <xf numFmtId="0" fontId="7" fillId="0" borderId="0" xfId="0" applyFont="1" applyBorder="1" applyAlignment="1">
      <alignment vertical="top" wrapText="1"/>
    </xf>
    <xf numFmtId="3" fontId="7" fillId="0" borderId="0" xfId="0" applyNumberFormat="1" applyFont="1" applyBorder="1" applyAlignment="1">
      <alignment horizontal="right" vertical="top" wrapText="1"/>
    </xf>
    <xf numFmtId="3" fontId="7" fillId="0" borderId="0" xfId="0" applyNumberFormat="1" applyFont="1" applyBorder="1" applyAlignment="1">
      <alignment/>
    </xf>
    <xf numFmtId="170" fontId="7" fillId="0" borderId="0" xfId="17" applyNumberFormat="1" applyFont="1" applyBorder="1" applyAlignment="1">
      <alignment horizontal="right" vertical="top" wrapText="1"/>
    </xf>
    <xf numFmtId="0" fontId="7" fillId="0" borderId="0" xfId="0" applyFont="1" applyBorder="1" applyAlignment="1">
      <alignment vertical="top"/>
    </xf>
    <xf numFmtId="0" fontId="7" fillId="0" borderId="8" xfId="0" applyFont="1" applyBorder="1" applyAlignment="1">
      <alignment vertical="top" wrapText="1"/>
    </xf>
    <xf numFmtId="0" fontId="7" fillId="0" borderId="8" xfId="0" applyFont="1" applyBorder="1" applyAlignment="1">
      <alignment/>
    </xf>
    <xf numFmtId="3" fontId="7" fillId="0" borderId="10" xfId="0" applyNumberFormat="1" applyFont="1" applyBorder="1" applyAlignment="1">
      <alignment/>
    </xf>
    <xf numFmtId="3" fontId="7" fillId="0" borderId="6" xfId="0" applyNumberFormat="1" applyFont="1" applyBorder="1" applyAlignment="1">
      <alignment/>
    </xf>
    <xf numFmtId="0" fontId="7" fillId="0" borderId="0" xfId="0" applyFont="1" applyBorder="1" applyAlignment="1">
      <alignment horizontal="center"/>
    </xf>
    <xf numFmtId="0" fontId="8" fillId="0" borderId="0" xfId="0" applyFont="1" applyBorder="1" applyAlignment="1">
      <alignment horizontal="center"/>
    </xf>
    <xf numFmtId="0" fontId="8" fillId="0" borderId="2" xfId="0" applyFont="1" applyFill="1" applyBorder="1" applyAlignment="1">
      <alignment/>
    </xf>
    <xf numFmtId="181" fontId="8" fillId="0" borderId="1" xfId="0" applyNumberFormat="1" applyFont="1" applyBorder="1" applyAlignment="1">
      <alignment/>
    </xf>
    <xf numFmtId="168" fontId="7" fillId="0" borderId="0" xfId="0" applyNumberFormat="1" applyFont="1" applyBorder="1" applyAlignment="1">
      <alignment vertical="top"/>
    </xf>
    <xf numFmtId="0" fontId="7" fillId="3" borderId="0" xfId="0" applyFont="1" applyFill="1" applyBorder="1" applyAlignment="1">
      <alignment/>
    </xf>
    <xf numFmtId="3" fontId="7" fillId="0" borderId="0" xfId="0" applyNumberFormat="1" applyFont="1" applyAlignment="1">
      <alignment horizontal="center"/>
    </xf>
    <xf numFmtId="3" fontId="7" fillId="0" borderId="0" xfId="0" applyNumberFormat="1" applyFont="1" applyAlignment="1" quotePrefix="1">
      <alignment/>
    </xf>
    <xf numFmtId="3" fontId="8" fillId="0" borderId="0" xfId="0" applyNumberFormat="1" applyFont="1" applyAlignment="1">
      <alignment/>
    </xf>
    <xf numFmtId="3" fontId="8" fillId="0" borderId="0" xfId="0" applyNumberFormat="1" applyFont="1" applyBorder="1" applyAlignment="1">
      <alignment/>
    </xf>
    <xf numFmtId="3" fontId="7" fillId="4" borderId="11" xfId="0" applyNumberFormat="1" applyFont="1" applyFill="1" applyBorder="1" applyAlignment="1">
      <alignment/>
    </xf>
    <xf numFmtId="3" fontId="7" fillId="4" borderId="0" xfId="0" applyNumberFormat="1" applyFont="1" applyFill="1" applyBorder="1" applyAlignment="1">
      <alignment/>
    </xf>
    <xf numFmtId="3" fontId="7" fillId="4" borderId="1" xfId="0" applyNumberFormat="1" applyFont="1" applyFill="1" applyBorder="1" applyAlignment="1">
      <alignment/>
    </xf>
    <xf numFmtId="9" fontId="7" fillId="4" borderId="0" xfId="21" applyNumberFormat="1" applyFont="1" applyFill="1" applyBorder="1" applyAlignment="1">
      <alignment/>
    </xf>
    <xf numFmtId="9" fontId="7" fillId="4" borderId="1" xfId="21" applyFont="1" applyFill="1" applyBorder="1" applyAlignment="1">
      <alignment/>
    </xf>
    <xf numFmtId="3" fontId="8" fillId="3" borderId="10" xfId="0" applyNumberFormat="1" applyFont="1" applyFill="1" applyBorder="1" applyAlignment="1">
      <alignment/>
    </xf>
    <xf numFmtId="3" fontId="8" fillId="3" borderId="6" xfId="0" applyNumberFormat="1" applyFont="1" applyFill="1" applyBorder="1" applyAlignment="1">
      <alignment/>
    </xf>
    <xf numFmtId="3" fontId="8" fillId="3" borderId="6" xfId="0" applyNumberFormat="1" applyFont="1" applyFill="1" applyBorder="1" applyAlignment="1">
      <alignment horizontal="center"/>
    </xf>
    <xf numFmtId="3" fontId="8" fillId="3" borderId="9" xfId="0" applyNumberFormat="1" applyFont="1" applyFill="1" applyBorder="1" applyAlignment="1">
      <alignment horizontal="center"/>
    </xf>
    <xf numFmtId="44" fontId="7" fillId="4" borderId="0" xfId="17" applyNumberFormat="1" applyFont="1" applyFill="1" applyBorder="1" applyAlignment="1">
      <alignment/>
    </xf>
    <xf numFmtId="44" fontId="7" fillId="4" borderId="1" xfId="17" applyNumberFormat="1" applyFont="1" applyFill="1" applyBorder="1" applyAlignment="1">
      <alignment/>
    </xf>
    <xf numFmtId="9" fontId="7" fillId="4" borderId="0" xfId="21" applyFont="1" applyFill="1" applyBorder="1" applyAlignment="1">
      <alignment/>
    </xf>
    <xf numFmtId="44" fontId="7" fillId="4" borderId="0" xfId="17" applyFont="1" applyFill="1" applyBorder="1" applyAlignment="1">
      <alignment/>
    </xf>
    <xf numFmtId="181" fontId="7" fillId="0" borderId="9" xfId="0" applyNumberFormat="1" applyFont="1" applyBorder="1" applyAlignment="1">
      <alignment/>
    </xf>
    <xf numFmtId="0" fontId="7" fillId="0" borderId="12" xfId="0" applyFont="1" applyBorder="1" applyAlignment="1">
      <alignment/>
    </xf>
    <xf numFmtId="0" fontId="8" fillId="5" borderId="0" xfId="0" applyFont="1" applyFill="1" applyBorder="1" applyAlignment="1">
      <alignment/>
    </xf>
    <xf numFmtId="44" fontId="7" fillId="4" borderId="1" xfId="17" applyFont="1" applyFill="1" applyBorder="1" applyAlignment="1">
      <alignment/>
    </xf>
    <xf numFmtId="10" fontId="7" fillId="4" borderId="0" xfId="21" applyNumberFormat="1" applyFont="1" applyFill="1" applyBorder="1" applyAlignment="1">
      <alignment/>
    </xf>
    <xf numFmtId="10" fontId="7" fillId="4" borderId="1" xfId="21" applyNumberFormat="1" applyFont="1" applyFill="1" applyBorder="1" applyAlignment="1">
      <alignment/>
    </xf>
    <xf numFmtId="181" fontId="7" fillId="4" borderId="0" xfId="17" applyNumberFormat="1" applyFont="1" applyFill="1" applyBorder="1" applyAlignment="1">
      <alignment/>
    </xf>
    <xf numFmtId="181" fontId="7" fillId="4" borderId="1" xfId="17" applyNumberFormat="1" applyFont="1" applyFill="1" applyBorder="1" applyAlignment="1">
      <alignment/>
    </xf>
    <xf numFmtId="173" fontId="7" fillId="4" borderId="0" xfId="15" applyNumberFormat="1" applyFont="1" applyFill="1" applyBorder="1" applyAlignment="1">
      <alignment/>
    </xf>
    <xf numFmtId="173" fontId="7" fillId="4" borderId="1" xfId="15" applyNumberFormat="1" applyFont="1" applyFill="1" applyBorder="1" applyAlignment="1">
      <alignment/>
    </xf>
    <xf numFmtId="3" fontId="8" fillId="3" borderId="0" xfId="0" applyNumberFormat="1" applyFont="1" applyFill="1" applyAlignment="1">
      <alignment/>
    </xf>
    <xf numFmtId="3" fontId="7" fillId="3" borderId="0" xfId="0" applyNumberFormat="1" applyFont="1" applyFill="1" applyAlignment="1">
      <alignment/>
    </xf>
    <xf numFmtId="3" fontId="7" fillId="3" borderId="0" xfId="0" applyNumberFormat="1" applyFont="1" applyFill="1" applyBorder="1" applyAlignment="1">
      <alignment/>
    </xf>
    <xf numFmtId="0" fontId="8" fillId="3" borderId="0" xfId="0" applyFont="1" applyFill="1" applyAlignment="1">
      <alignment wrapText="1"/>
    </xf>
    <xf numFmtId="173" fontId="7" fillId="0" borderId="0" xfId="15" applyNumberFormat="1" applyFont="1" applyAlignment="1">
      <alignment/>
    </xf>
    <xf numFmtId="9" fontId="7" fillId="4" borderId="0" xfId="21" applyFont="1" applyFill="1" applyAlignment="1">
      <alignment/>
    </xf>
    <xf numFmtId="173" fontId="7" fillId="4" borderId="0" xfId="0" applyNumberFormat="1" applyFont="1" applyFill="1" applyAlignment="1">
      <alignment/>
    </xf>
    <xf numFmtId="0" fontId="7" fillId="6" borderId="0" xfId="0" applyFont="1" applyFill="1" applyAlignment="1">
      <alignment/>
    </xf>
    <xf numFmtId="173" fontId="7" fillId="6" borderId="0" xfId="15" applyNumberFormat="1" applyFont="1" applyFill="1" applyAlignment="1">
      <alignment/>
    </xf>
    <xf numFmtId="9" fontId="7" fillId="6" borderId="0" xfId="21" applyFont="1" applyFill="1" applyAlignment="1">
      <alignment/>
    </xf>
    <xf numFmtId="43" fontId="7" fillId="6" borderId="0" xfId="0" applyNumberFormat="1" applyFont="1" applyFill="1" applyAlignment="1">
      <alignment/>
    </xf>
    <xf numFmtId="0" fontId="8"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3" borderId="0" xfId="0" applyFont="1" applyFill="1" applyAlignment="1">
      <alignment/>
    </xf>
    <xf numFmtId="0" fontId="7" fillId="0" borderId="16" xfId="0" applyFont="1" applyBorder="1" applyAlignment="1">
      <alignment/>
    </xf>
    <xf numFmtId="0" fontId="7" fillId="0" borderId="17" xfId="0" applyFont="1" applyBorder="1" applyAlignment="1">
      <alignment horizontal="center"/>
    </xf>
    <xf numFmtId="3" fontId="7" fillId="0" borderId="1" xfId="0" applyNumberFormat="1" applyFont="1" applyBorder="1" applyAlignment="1">
      <alignment horizontal="center"/>
    </xf>
    <xf numFmtId="0" fontId="7" fillId="0" borderId="17" xfId="0" applyFont="1" applyBorder="1" applyAlignment="1">
      <alignment/>
    </xf>
    <xf numFmtId="0" fontId="7" fillId="0" borderId="1" xfId="0" applyFont="1" applyBorder="1" applyAlignment="1">
      <alignment/>
    </xf>
    <xf numFmtId="181" fontId="7" fillId="0" borderId="16" xfId="17" applyNumberFormat="1" applyFont="1" applyBorder="1" applyAlignment="1">
      <alignment/>
    </xf>
    <xf numFmtId="181" fontId="7" fillId="0" borderId="17" xfId="17" applyNumberFormat="1" applyFont="1" applyBorder="1" applyAlignment="1">
      <alignment/>
    </xf>
    <xf numFmtId="181" fontId="7" fillId="0" borderId="2" xfId="17" applyNumberFormat="1" applyFont="1" applyBorder="1" applyAlignment="1">
      <alignment/>
    </xf>
    <xf numFmtId="181" fontId="7" fillId="0" borderId="1" xfId="17" applyNumberFormat="1" applyFont="1" applyBorder="1" applyAlignment="1">
      <alignment/>
    </xf>
    <xf numFmtId="0" fontId="7" fillId="0" borderId="0" xfId="0" applyFont="1" applyAlignment="1">
      <alignment wrapText="1"/>
    </xf>
    <xf numFmtId="181" fontId="7" fillId="0" borderId="16" xfId="17" applyNumberFormat="1" applyFont="1" applyBorder="1" applyAlignment="1">
      <alignment wrapText="1"/>
    </xf>
    <xf numFmtId="181" fontId="7" fillId="0" borderId="18" xfId="17" applyNumberFormat="1" applyFont="1" applyBorder="1" applyAlignment="1">
      <alignment/>
    </xf>
    <xf numFmtId="181" fontId="7" fillId="0" borderId="8" xfId="17" applyNumberFormat="1" applyFont="1" applyBorder="1" applyAlignment="1">
      <alignment/>
    </xf>
    <xf numFmtId="181" fontId="7" fillId="0" borderId="19" xfId="17" applyNumberFormat="1" applyFont="1" applyBorder="1" applyAlignment="1">
      <alignment/>
    </xf>
    <xf numFmtId="181" fontId="7" fillId="0" borderId="7" xfId="17" applyNumberFormat="1" applyFont="1" applyBorder="1" applyAlignment="1">
      <alignment/>
    </xf>
    <xf numFmtId="181" fontId="7" fillId="0" borderId="20" xfId="17" applyNumberFormat="1" applyFont="1" applyBorder="1" applyAlignment="1">
      <alignment/>
    </xf>
    <xf numFmtId="181" fontId="7" fillId="0" borderId="14" xfId="17" applyNumberFormat="1" applyFont="1" applyBorder="1" applyAlignment="1">
      <alignment/>
    </xf>
    <xf numFmtId="181" fontId="7" fillId="0" borderId="15" xfId="17" applyNumberFormat="1" applyFont="1" applyBorder="1" applyAlignment="1">
      <alignment/>
    </xf>
    <xf numFmtId="181" fontId="7" fillId="0" borderId="21" xfId="17" applyNumberFormat="1" applyFont="1" applyBorder="1" applyAlignment="1">
      <alignment/>
    </xf>
    <xf numFmtId="181" fontId="7" fillId="0" borderId="0" xfId="17" applyNumberFormat="1" applyFont="1" applyBorder="1" applyAlignment="1">
      <alignment wrapText="1"/>
    </xf>
    <xf numFmtId="181" fontId="7" fillId="0" borderId="17" xfId="17" applyNumberFormat="1" applyFont="1" applyBorder="1" applyAlignment="1">
      <alignment wrapText="1"/>
    </xf>
    <xf numFmtId="181" fontId="7" fillId="0" borderId="3" xfId="17" applyNumberFormat="1" applyFont="1" applyBorder="1" applyAlignment="1">
      <alignment/>
    </xf>
    <xf numFmtId="181" fontId="7" fillId="0" borderId="4" xfId="17" applyNumberFormat="1" applyFont="1" applyBorder="1" applyAlignment="1">
      <alignment/>
    </xf>
    <xf numFmtId="181" fontId="7" fillId="0" borderId="5" xfId="17" applyNumberFormat="1" applyFont="1" applyBorder="1" applyAlignment="1">
      <alignment/>
    </xf>
    <xf numFmtId="0" fontId="7" fillId="4" borderId="11" xfId="0" applyFont="1" applyFill="1" applyBorder="1" applyAlignment="1">
      <alignment/>
    </xf>
    <xf numFmtId="3" fontId="7" fillId="0" borderId="9" xfId="0" applyNumberFormat="1" applyFont="1" applyFill="1" applyBorder="1" applyAlignment="1">
      <alignment horizontal="center"/>
    </xf>
    <xf numFmtId="0" fontId="7" fillId="0" borderId="1" xfId="0" applyFont="1" applyBorder="1" applyAlignment="1">
      <alignment horizontal="center"/>
    </xf>
    <xf numFmtId="3" fontId="7" fillId="0" borderId="2" xfId="0" applyNumberFormat="1" applyFont="1" applyFill="1" applyBorder="1" applyAlignment="1">
      <alignment/>
    </xf>
    <xf numFmtId="181" fontId="7" fillId="0" borderId="0" xfId="17" applyNumberFormat="1" applyFont="1" applyBorder="1" applyAlignment="1">
      <alignment horizontal="center"/>
    </xf>
    <xf numFmtId="181" fontId="7" fillId="0" borderId="1" xfId="17" applyNumberFormat="1" applyFont="1" applyBorder="1" applyAlignment="1">
      <alignment horizontal="center"/>
    </xf>
    <xf numFmtId="0" fontId="7" fillId="0" borderId="0" xfId="0" applyFont="1" applyBorder="1" applyAlignment="1">
      <alignment horizontal="left"/>
    </xf>
    <xf numFmtId="9" fontId="7" fillId="0" borderId="0" xfId="0" applyNumberFormat="1" applyFont="1" applyBorder="1" applyAlignment="1">
      <alignment/>
    </xf>
    <xf numFmtId="181" fontId="7" fillId="0" borderId="0" xfId="0" applyNumberFormat="1" applyFont="1" applyAlignment="1">
      <alignment/>
    </xf>
    <xf numFmtId="0" fontId="7" fillId="0" borderId="4" xfId="0" applyFont="1" applyBorder="1" applyAlignment="1">
      <alignment horizontal="center"/>
    </xf>
    <xf numFmtId="0" fontId="7" fillId="0" borderId="4" xfId="0" applyFont="1" applyBorder="1" applyAlignment="1">
      <alignment/>
    </xf>
    <xf numFmtId="181" fontId="7" fillId="0" borderId="4" xfId="17" applyNumberFormat="1" applyFont="1" applyBorder="1" applyAlignment="1">
      <alignment horizontal="center"/>
    </xf>
    <xf numFmtId="181" fontId="7" fillId="0" borderId="5" xfId="17" applyNumberFormat="1" applyFont="1" applyBorder="1" applyAlignment="1">
      <alignment horizontal="center"/>
    </xf>
    <xf numFmtId="181" fontId="7" fillId="0" borderId="0" xfId="17" applyNumberFormat="1" applyFont="1" applyAlignment="1">
      <alignment horizontal="center"/>
    </xf>
    <xf numFmtId="0" fontId="7" fillId="5" borderId="0" xfId="0" applyFont="1" applyFill="1" applyAlignment="1">
      <alignment/>
    </xf>
    <xf numFmtId="181" fontId="7" fillId="5" borderId="0" xfId="17" applyNumberFormat="1" applyFont="1" applyFill="1" applyAlignment="1">
      <alignment/>
    </xf>
    <xf numFmtId="181" fontId="7" fillId="5" borderId="0" xfId="17" applyNumberFormat="1" applyFont="1" applyFill="1" applyBorder="1" applyAlignment="1">
      <alignment/>
    </xf>
    <xf numFmtId="181" fontId="7" fillId="5" borderId="8" xfId="17" applyNumberFormat="1" applyFont="1" applyFill="1" applyBorder="1" applyAlignment="1">
      <alignment/>
    </xf>
    <xf numFmtId="0" fontId="7" fillId="3" borderId="0" xfId="0" applyFont="1" applyFill="1" applyBorder="1" applyAlignment="1">
      <alignment vertical="top"/>
    </xf>
    <xf numFmtId="181" fontId="7" fillId="4" borderId="0" xfId="17" applyNumberFormat="1" applyFont="1" applyFill="1" applyBorder="1" applyAlignment="1">
      <alignment horizontal="center"/>
    </xf>
    <xf numFmtId="173" fontId="7" fillId="4" borderId="0" xfId="15" applyNumberFormat="1" applyFont="1" applyFill="1" applyBorder="1" applyAlignment="1">
      <alignment horizontal="center"/>
    </xf>
    <xf numFmtId="181" fontId="7" fillId="4" borderId="1" xfId="17" applyNumberFormat="1" applyFont="1" applyFill="1" applyBorder="1" applyAlignment="1">
      <alignment horizontal="center"/>
    </xf>
    <xf numFmtId="173" fontId="7" fillId="4" borderId="1" xfId="15" applyNumberFormat="1" applyFont="1" applyFill="1" applyBorder="1" applyAlignment="1">
      <alignment horizontal="center"/>
    </xf>
    <xf numFmtId="9" fontId="7" fillId="4" borderId="0" xfId="21" applyFont="1" applyFill="1" applyBorder="1" applyAlignment="1">
      <alignment horizontal="center"/>
    </xf>
    <xf numFmtId="9" fontId="7" fillId="4" borderId="1" xfId="21" applyFont="1" applyFill="1" applyBorder="1" applyAlignment="1">
      <alignment horizontal="center"/>
    </xf>
    <xf numFmtId="181" fontId="7" fillId="0" borderId="0" xfId="0" applyNumberFormat="1" applyFont="1" applyBorder="1" applyAlignment="1">
      <alignment/>
    </xf>
    <xf numFmtId="3" fontId="7" fillId="0" borderId="2" xfId="0" applyNumberFormat="1" applyFont="1" applyFill="1" applyBorder="1" applyAlignment="1">
      <alignment horizontal="right" vertical="top" wrapText="1"/>
    </xf>
    <xf numFmtId="3" fontId="7" fillId="0" borderId="1" xfId="0" applyNumberFormat="1" applyFont="1" applyFill="1" applyBorder="1" applyAlignment="1">
      <alignment horizontal="right" vertical="top" wrapText="1"/>
    </xf>
    <xf numFmtId="0" fontId="11" fillId="0" borderId="0" xfId="0" applyFont="1" applyBorder="1" applyAlignment="1">
      <alignment/>
    </xf>
    <xf numFmtId="173" fontId="7" fillId="0" borderId="0" xfId="0" applyNumberFormat="1" applyFont="1" applyBorder="1" applyAlignment="1">
      <alignment/>
    </xf>
    <xf numFmtId="181" fontId="7" fillId="0" borderId="2" xfId="0" applyNumberFormat="1" applyFont="1" applyBorder="1" applyAlignment="1">
      <alignment/>
    </xf>
    <xf numFmtId="0" fontId="7" fillId="0" borderId="3" xfId="0" applyFont="1" applyBorder="1" applyAlignment="1">
      <alignment/>
    </xf>
    <xf numFmtId="0" fontId="11" fillId="0" borderId="4" xfId="0" applyFont="1" applyBorder="1" applyAlignment="1">
      <alignment/>
    </xf>
    <xf numFmtId="0" fontId="7" fillId="0" borderId="5" xfId="0" applyFont="1" applyBorder="1" applyAlignment="1">
      <alignment/>
    </xf>
    <xf numFmtId="0" fontId="8" fillId="0" borderId="2" xfId="0" applyFont="1" applyBorder="1" applyAlignment="1">
      <alignment/>
    </xf>
    <xf numFmtId="0" fontId="12" fillId="0" borderId="0" xfId="0" applyFont="1" applyAlignment="1">
      <alignment/>
    </xf>
    <xf numFmtId="0" fontId="7" fillId="0" borderId="0" xfId="0" applyFont="1" applyAlignment="1" quotePrefix="1">
      <alignment/>
    </xf>
    <xf numFmtId="3" fontId="7" fillId="0" borderId="0" xfId="0" applyNumberFormat="1" applyFont="1" applyFill="1" applyBorder="1" applyAlignment="1">
      <alignment/>
    </xf>
    <xf numFmtId="173" fontId="7" fillId="0" borderId="1" xfId="15" applyNumberFormat="1" applyFont="1" applyBorder="1" applyAlignment="1">
      <alignment/>
    </xf>
    <xf numFmtId="0" fontId="7" fillId="0" borderId="0" xfId="0" applyFont="1" applyFill="1" applyAlignment="1">
      <alignment/>
    </xf>
    <xf numFmtId="44" fontId="7" fillId="0" borderId="1" xfId="17" applyNumberFormat="1" applyFont="1" applyBorder="1" applyAlignment="1">
      <alignment/>
    </xf>
    <xf numFmtId="0" fontId="7" fillId="0" borderId="0" xfId="0" applyFont="1" applyAlignment="1">
      <alignment horizontal="center"/>
    </xf>
    <xf numFmtId="43" fontId="7" fillId="0" borderId="0" xfId="0" applyNumberFormat="1" applyFont="1" applyAlignment="1">
      <alignment/>
    </xf>
    <xf numFmtId="0" fontId="13" fillId="0" borderId="0" xfId="0" applyFont="1" applyAlignment="1">
      <alignment/>
    </xf>
    <xf numFmtId="173" fontId="7" fillId="0" borderId="0" xfId="0" applyNumberFormat="1" applyFont="1" applyAlignment="1">
      <alignment/>
    </xf>
    <xf numFmtId="173" fontId="7" fillId="0" borderId="0" xfId="15" applyNumberFormat="1" applyFont="1" applyFill="1" applyBorder="1" applyAlignment="1">
      <alignment/>
    </xf>
    <xf numFmtId="173" fontId="7" fillId="0" borderId="1" xfId="15" applyNumberFormat="1" applyFont="1" applyFill="1" applyBorder="1" applyAlignment="1">
      <alignment/>
    </xf>
    <xf numFmtId="44" fontId="7" fillId="0" borderId="0" xfId="0" applyNumberFormat="1" applyFont="1" applyAlignment="1">
      <alignment/>
    </xf>
    <xf numFmtId="168" fontId="7" fillId="0" borderId="0" xfId="21" applyNumberFormat="1" applyFont="1" applyFill="1" applyBorder="1" applyAlignment="1">
      <alignment/>
    </xf>
    <xf numFmtId="44" fontId="7" fillId="0" borderId="0" xfId="17" applyNumberFormat="1" applyFont="1" applyFill="1" applyBorder="1" applyAlignment="1">
      <alignment/>
    </xf>
    <xf numFmtId="181" fontId="7" fillId="0" borderId="0" xfId="17" applyNumberFormat="1" applyFont="1" applyBorder="1" applyAlignment="1" quotePrefix="1">
      <alignment/>
    </xf>
    <xf numFmtId="9" fontId="7" fillId="0" borderId="2" xfId="21" applyFont="1" applyBorder="1" applyAlignment="1">
      <alignment/>
    </xf>
    <xf numFmtId="0" fontId="7" fillId="0" borderId="0" xfId="0" applyFont="1" applyAlignment="1">
      <alignment horizontal="left"/>
    </xf>
    <xf numFmtId="44" fontId="7" fillId="0" borderId="1" xfId="17" applyNumberFormat="1" applyFont="1" applyFill="1" applyBorder="1" applyAlignment="1">
      <alignment/>
    </xf>
    <xf numFmtId="0" fontId="7" fillId="0" borderId="0" xfId="0" applyFont="1" applyAlignment="1">
      <alignment horizontal="right"/>
    </xf>
    <xf numFmtId="181" fontId="7" fillId="0" borderId="0" xfId="17" applyNumberFormat="1" applyFont="1" applyFill="1" applyBorder="1" applyAlignment="1">
      <alignment/>
    </xf>
    <xf numFmtId="181" fontId="7" fillId="0" borderId="1" xfId="17" applyNumberFormat="1" applyFont="1" applyFill="1" applyBorder="1" applyAlignment="1">
      <alignment/>
    </xf>
    <xf numFmtId="9" fontId="7" fillId="0" borderId="0" xfId="0" applyNumberFormat="1" applyFont="1" applyAlignment="1">
      <alignment/>
    </xf>
    <xf numFmtId="3" fontId="7" fillId="0" borderId="1" xfId="0" applyNumberFormat="1" applyFont="1" applyFill="1" applyBorder="1" applyAlignment="1">
      <alignment/>
    </xf>
    <xf numFmtId="1" fontId="7" fillId="0" borderId="0" xfId="0" applyNumberFormat="1" applyFont="1" applyAlignment="1">
      <alignment/>
    </xf>
    <xf numFmtId="188" fontId="7" fillId="0" borderId="0" xfId="0" applyNumberFormat="1" applyFont="1" applyAlignment="1">
      <alignment/>
    </xf>
    <xf numFmtId="3" fontId="7" fillId="0" borderId="0" xfId="0" applyNumberFormat="1" applyFont="1" applyBorder="1" applyAlignment="1">
      <alignment horizontal="right"/>
    </xf>
    <xf numFmtId="173" fontId="7" fillId="0" borderId="0" xfId="15" applyNumberFormat="1" applyFont="1" applyFill="1" applyBorder="1" applyAlignment="1">
      <alignment horizontal="right"/>
    </xf>
    <xf numFmtId="10" fontId="7" fillId="0" borderId="0" xfId="21" applyNumberFormat="1" applyFont="1" applyFill="1" applyBorder="1" applyAlignment="1">
      <alignment/>
    </xf>
    <xf numFmtId="168" fontId="7" fillId="0" borderId="1" xfId="21" applyNumberFormat="1" applyFont="1" applyFill="1" applyBorder="1" applyAlignment="1">
      <alignment/>
    </xf>
    <xf numFmtId="3" fontId="7" fillId="0" borderId="0" xfId="0" applyNumberFormat="1" applyFont="1" applyBorder="1" applyAlignment="1" quotePrefix="1">
      <alignment/>
    </xf>
    <xf numFmtId="181" fontId="7" fillId="0" borderId="1" xfId="0" applyNumberFormat="1" applyFont="1" applyBorder="1" applyAlignment="1">
      <alignment horizontal="center"/>
    </xf>
    <xf numFmtId="181" fontId="7" fillId="0" borderId="0" xfId="0" applyNumberFormat="1" applyFont="1" applyBorder="1" applyAlignment="1">
      <alignment horizontal="center"/>
    </xf>
    <xf numFmtId="0" fontId="12" fillId="0" borderId="3" xfId="0" applyFont="1" applyBorder="1" applyAlignment="1">
      <alignment/>
    </xf>
    <xf numFmtId="0" fontId="8" fillId="0" borderId="0" xfId="0" applyFont="1" applyFill="1" applyAlignment="1">
      <alignment/>
    </xf>
    <xf numFmtId="44" fontId="7" fillId="0" borderId="0" xfId="17" applyFont="1" applyAlignment="1">
      <alignment/>
    </xf>
    <xf numFmtId="9" fontId="7" fillId="0" borderId="0" xfId="21" applyFont="1" applyBorder="1" applyAlignment="1" quotePrefix="1">
      <alignment/>
    </xf>
    <xf numFmtId="9" fontId="7" fillId="0" borderId="0" xfId="21" applyFont="1" applyFill="1" applyBorder="1" applyAlignment="1" quotePrefix="1">
      <alignment/>
    </xf>
    <xf numFmtId="173" fontId="7" fillId="0" borderId="0" xfId="0" applyNumberFormat="1" applyFont="1" applyBorder="1" applyAlignment="1">
      <alignment horizontal="center"/>
    </xf>
    <xf numFmtId="173" fontId="7" fillId="0" borderId="1" xfId="0" applyNumberFormat="1" applyFont="1" applyBorder="1" applyAlignment="1">
      <alignment horizontal="center"/>
    </xf>
    <xf numFmtId="173" fontId="7" fillId="0" borderId="1" xfId="0" applyNumberFormat="1" applyFont="1" applyBorder="1" applyAlignment="1">
      <alignment/>
    </xf>
    <xf numFmtId="0" fontId="7" fillId="0" borderId="0" xfId="0" applyFont="1" applyAlignment="1" quotePrefix="1">
      <alignment/>
    </xf>
    <xf numFmtId="0" fontId="7" fillId="0" borderId="0" xfId="0" applyFont="1" applyFill="1" applyBorder="1" applyAlignment="1">
      <alignment horizontal="center"/>
    </xf>
    <xf numFmtId="9" fontId="7" fillId="0" borderId="4" xfId="21" applyFont="1" applyBorder="1" applyAlignment="1">
      <alignment/>
    </xf>
    <xf numFmtId="0" fontId="7" fillId="0" borderId="0" xfId="0" applyFont="1" applyFill="1" applyBorder="1" applyAlignment="1">
      <alignment horizontal="right"/>
    </xf>
    <xf numFmtId="0" fontId="7" fillId="0" borderId="10" xfId="0" applyFont="1" applyBorder="1" applyAlignment="1">
      <alignment/>
    </xf>
    <xf numFmtId="0" fontId="7" fillId="0" borderId="6" xfId="0" applyFont="1" applyBorder="1" applyAlignment="1">
      <alignment/>
    </xf>
    <xf numFmtId="0" fontId="7" fillId="0" borderId="2" xfId="0" applyFont="1" applyBorder="1" applyAlignment="1">
      <alignment horizontal="center"/>
    </xf>
    <xf numFmtId="0" fontId="7" fillId="0" borderId="2" xfId="0" applyFont="1" applyFill="1" applyBorder="1" applyAlignment="1">
      <alignment/>
    </xf>
    <xf numFmtId="181" fontId="7" fillId="0" borderId="2" xfId="17" applyNumberFormat="1" applyFont="1" applyFill="1" applyBorder="1" applyAlignment="1">
      <alignment/>
    </xf>
    <xf numFmtId="181" fontId="7" fillId="0" borderId="7" xfId="17" applyNumberFormat="1" applyFont="1" applyFill="1" applyBorder="1" applyAlignment="1">
      <alignment/>
    </xf>
    <xf numFmtId="181" fontId="7" fillId="0" borderId="7" xfId="0" applyNumberFormat="1" applyFont="1" applyBorder="1" applyAlignment="1">
      <alignment/>
    </xf>
    <xf numFmtId="181" fontId="7" fillId="0" borderId="8" xfId="0" applyNumberFormat="1" applyFont="1" applyBorder="1" applyAlignment="1">
      <alignment/>
    </xf>
    <xf numFmtId="0" fontId="7" fillId="0" borderId="20" xfId="0" applyFont="1" applyFill="1" applyBorder="1" applyAlignment="1">
      <alignment/>
    </xf>
    <xf numFmtId="0" fontId="7" fillId="0" borderId="22" xfId="0" applyFont="1" applyBorder="1" applyAlignment="1">
      <alignment/>
    </xf>
    <xf numFmtId="0" fontId="7" fillId="0" borderId="23" xfId="0" applyFont="1" applyBorder="1" applyAlignment="1">
      <alignment/>
    </xf>
    <xf numFmtId="181" fontId="7" fillId="0" borderId="23" xfId="17" applyNumberFormat="1" applyFont="1" applyBorder="1" applyAlignment="1">
      <alignment/>
    </xf>
    <xf numFmtId="181" fontId="7" fillId="0" borderId="22" xfId="17" applyNumberFormat="1"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0" xfId="0" applyFont="1" applyBorder="1" applyAlignment="1">
      <alignment/>
    </xf>
    <xf numFmtId="181" fontId="8" fillId="0" borderId="0" xfId="17" applyNumberFormat="1" applyFont="1" applyBorder="1" applyAlignment="1">
      <alignment/>
    </xf>
    <xf numFmtId="181" fontId="8" fillId="0" borderId="0" xfId="17" applyNumberFormat="1" applyFont="1" applyAlignment="1">
      <alignment/>
    </xf>
    <xf numFmtId="181" fontId="8" fillId="0" borderId="2" xfId="0" applyNumberFormat="1" applyFont="1" applyBorder="1" applyAlignment="1">
      <alignment/>
    </xf>
    <xf numFmtId="181" fontId="8" fillId="0" borderId="0" xfId="0" applyNumberFormat="1" applyFont="1" applyBorder="1" applyAlignment="1">
      <alignment/>
    </xf>
    <xf numFmtId="0" fontId="11" fillId="0" borderId="0" xfId="0" applyFont="1" applyAlignment="1">
      <alignment/>
    </xf>
    <xf numFmtId="9" fontId="7" fillId="0" borderId="5" xfId="21" applyFont="1" applyBorder="1" applyAlignment="1">
      <alignment/>
    </xf>
    <xf numFmtId="0" fontId="7" fillId="3" borderId="10" xfId="0" applyFont="1" applyFill="1" applyBorder="1" applyAlignment="1">
      <alignment/>
    </xf>
    <xf numFmtId="0" fontId="7" fillId="3" borderId="6" xfId="0" applyFont="1" applyFill="1" applyBorder="1" applyAlignment="1">
      <alignment/>
    </xf>
    <xf numFmtId="0" fontId="7" fillId="3" borderId="9" xfId="0" applyFont="1" applyFill="1" applyBorder="1" applyAlignment="1">
      <alignment/>
    </xf>
    <xf numFmtId="9" fontId="7" fillId="4" borderId="11" xfId="21" applyFont="1" applyFill="1" applyBorder="1" applyAlignment="1">
      <alignment/>
    </xf>
    <xf numFmtId="0" fontId="7" fillId="4" borderId="2" xfId="0" applyFont="1" applyFill="1" applyBorder="1" applyAlignment="1">
      <alignment/>
    </xf>
    <xf numFmtId="0" fontId="7" fillId="4" borderId="0" xfId="0" applyFont="1" applyFill="1" applyBorder="1" applyAlignment="1">
      <alignment/>
    </xf>
    <xf numFmtId="0" fontId="7" fillId="4" borderId="7" xfId="0" applyFont="1" applyFill="1" applyBorder="1" applyAlignment="1">
      <alignment/>
    </xf>
    <xf numFmtId="0" fontId="7" fillId="4" borderId="8" xfId="0" applyFont="1" applyFill="1" applyBorder="1" applyAlignment="1">
      <alignment/>
    </xf>
    <xf numFmtId="181" fontId="7" fillId="4" borderId="2" xfId="17" applyNumberFormat="1" applyFont="1" applyFill="1" applyBorder="1" applyAlignment="1">
      <alignment/>
    </xf>
    <xf numFmtId="181" fontId="7" fillId="4" borderId="7" xfId="17" applyNumberFormat="1" applyFont="1" applyFill="1" applyBorder="1" applyAlignment="1">
      <alignment/>
    </xf>
    <xf numFmtId="0" fontId="7" fillId="0" borderId="26" xfId="0" applyFont="1" applyBorder="1" applyAlignment="1">
      <alignment/>
    </xf>
    <xf numFmtId="0" fontId="7" fillId="0" borderId="27" xfId="0" applyFont="1" applyBorder="1" applyAlignment="1">
      <alignment/>
    </xf>
    <xf numFmtId="181" fontId="7" fillId="0" borderId="27" xfId="17" applyNumberFormat="1" applyFont="1" applyBorder="1" applyAlignment="1">
      <alignment/>
    </xf>
    <xf numFmtId="181" fontId="7" fillId="0" borderId="26" xfId="17" applyNumberFormat="1" applyFont="1" applyBorder="1" applyAlignment="1">
      <alignment/>
    </xf>
    <xf numFmtId="181" fontId="7" fillId="0" borderId="27" xfId="0" applyNumberFormat="1" applyFont="1" applyBorder="1" applyAlignment="1">
      <alignment/>
    </xf>
    <xf numFmtId="181" fontId="7" fillId="0" borderId="26" xfId="0" applyNumberFormat="1" applyFont="1" applyBorder="1" applyAlignment="1">
      <alignment/>
    </xf>
    <xf numFmtId="0" fontId="7" fillId="5" borderId="0" xfId="0" applyFont="1" applyFill="1" applyBorder="1" applyAlignment="1">
      <alignment/>
    </xf>
    <xf numFmtId="0" fontId="7" fillId="5" borderId="26" xfId="0" applyFont="1" applyFill="1" applyBorder="1" applyAlignment="1">
      <alignment/>
    </xf>
    <xf numFmtId="0" fontId="7" fillId="5" borderId="8" xfId="0" applyFont="1" applyFill="1" applyBorder="1" applyAlignment="1">
      <alignment/>
    </xf>
    <xf numFmtId="0" fontId="7" fillId="5" borderId="22" xfId="0" applyFont="1" applyFill="1" applyBorder="1" applyAlignment="1">
      <alignment/>
    </xf>
    <xf numFmtId="0" fontId="8" fillId="3" borderId="28" xfId="0" applyFont="1" applyFill="1" applyBorder="1" applyAlignment="1">
      <alignment/>
    </xf>
    <xf numFmtId="9" fontId="7" fillId="3" borderId="29" xfId="21" applyFont="1" applyFill="1" applyBorder="1" applyAlignment="1">
      <alignment/>
    </xf>
    <xf numFmtId="0" fontId="7" fillId="3" borderId="29" xfId="0" applyFont="1" applyFill="1" applyBorder="1" applyAlignment="1">
      <alignment/>
    </xf>
    <xf numFmtId="0" fontId="7" fillId="3" borderId="30" xfId="0" applyFont="1" applyFill="1" applyBorder="1" applyAlignment="1">
      <alignment/>
    </xf>
    <xf numFmtId="0" fontId="7" fillId="5" borderId="6" xfId="0" applyFont="1" applyFill="1" applyBorder="1" applyAlignment="1">
      <alignment/>
    </xf>
    <xf numFmtId="0" fontId="7" fillId="0" borderId="6" xfId="0" applyFont="1" applyBorder="1" applyAlignment="1">
      <alignment horizontal="left"/>
    </xf>
    <xf numFmtId="0" fontId="7" fillId="5" borderId="4" xfId="0" applyFont="1" applyFill="1" applyBorder="1" applyAlignment="1">
      <alignment/>
    </xf>
    <xf numFmtId="181" fontId="7" fillId="0" borderId="3" xfId="0" applyNumberFormat="1" applyFont="1" applyBorder="1" applyAlignment="1">
      <alignment/>
    </xf>
    <xf numFmtId="181" fontId="7" fillId="0" borderId="4" xfId="0" applyNumberFormat="1" applyFont="1" applyBorder="1" applyAlignment="1">
      <alignment/>
    </xf>
    <xf numFmtId="181" fontId="7" fillId="0" borderId="10" xfId="17" applyNumberFormat="1" applyFont="1" applyBorder="1" applyAlignment="1">
      <alignment/>
    </xf>
    <xf numFmtId="181" fontId="7" fillId="0" borderId="6" xfId="17" applyNumberFormat="1" applyFont="1" applyBorder="1" applyAlignment="1">
      <alignment/>
    </xf>
    <xf numFmtId="181" fontId="7" fillId="0" borderId="10" xfId="0" applyNumberFormat="1" applyFont="1" applyBorder="1" applyAlignment="1">
      <alignment/>
    </xf>
    <xf numFmtId="181" fontId="7" fillId="0" borderId="6" xfId="0" applyNumberFormat="1" applyFont="1" applyBorder="1" applyAlignment="1">
      <alignment/>
    </xf>
    <xf numFmtId="0" fontId="8" fillId="4" borderId="10" xfId="0" applyFont="1" applyFill="1" applyBorder="1" applyAlignment="1">
      <alignment/>
    </xf>
    <xf numFmtId="0" fontId="7" fillId="0" borderId="31" xfId="0" applyFont="1" applyFill="1" applyBorder="1" applyAlignment="1">
      <alignment/>
    </xf>
    <xf numFmtId="0" fontId="7" fillId="0" borderId="3" xfId="0" applyFont="1" applyFill="1" applyBorder="1" applyAlignment="1">
      <alignment/>
    </xf>
    <xf numFmtId="0" fontId="7" fillId="5" borderId="9" xfId="0" applyFont="1" applyFill="1" applyBorder="1" applyAlignment="1">
      <alignment/>
    </xf>
    <xf numFmtId="0" fontId="7" fillId="5" borderId="12" xfId="0" applyFont="1" applyFill="1" applyBorder="1" applyAlignment="1">
      <alignment/>
    </xf>
    <xf numFmtId="0" fontId="7" fillId="5" borderId="1" xfId="0" applyFont="1" applyFill="1" applyBorder="1" applyAlignment="1">
      <alignment/>
    </xf>
    <xf numFmtId="0" fontId="7" fillId="5" borderId="5" xfId="0" applyFont="1" applyFill="1" applyBorder="1" applyAlignment="1">
      <alignment/>
    </xf>
    <xf numFmtId="0" fontId="8" fillId="3" borderId="10" xfId="0" applyFont="1" applyFill="1" applyBorder="1" applyAlignment="1">
      <alignment/>
    </xf>
    <xf numFmtId="0" fontId="8" fillId="6" borderId="2" xfId="0" applyFont="1" applyFill="1" applyBorder="1" applyAlignment="1">
      <alignment/>
    </xf>
    <xf numFmtId="181" fontId="7" fillId="0" borderId="32" xfId="17" applyNumberFormat="1" applyFont="1" applyBorder="1" applyAlignment="1">
      <alignment/>
    </xf>
    <xf numFmtId="0" fontId="7" fillId="0" borderId="3" xfId="0" applyFont="1" applyBorder="1" applyAlignment="1">
      <alignment horizontal="left"/>
    </xf>
    <xf numFmtId="0" fontId="7" fillId="6" borderId="0" xfId="0" applyFont="1" applyFill="1" applyBorder="1" applyAlignment="1">
      <alignment horizontal="center"/>
    </xf>
    <xf numFmtId="0" fontId="8" fillId="6" borderId="0" xfId="0" applyFont="1" applyFill="1" applyBorder="1" applyAlignment="1">
      <alignment horizontal="center"/>
    </xf>
    <xf numFmtId="181" fontId="7" fillId="6" borderId="0" xfId="0" applyNumberFormat="1" applyFont="1" applyFill="1" applyBorder="1" applyAlignment="1">
      <alignment horizontal="center"/>
    </xf>
    <xf numFmtId="3" fontId="7" fillId="0" borderId="20" xfId="0" applyNumberFormat="1" applyFont="1" applyFill="1" applyBorder="1" applyAlignment="1">
      <alignment/>
    </xf>
    <xf numFmtId="170" fontId="7" fillId="0" borderId="1" xfId="17" applyNumberFormat="1" applyFont="1" applyBorder="1" applyAlignment="1">
      <alignment horizontal="right" vertical="top" wrapText="1"/>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3" fontId="7" fillId="0" borderId="5" xfId="0" applyNumberFormat="1" applyFont="1" applyBorder="1" applyAlignment="1">
      <alignment horizontal="center"/>
    </xf>
    <xf numFmtId="0" fontId="7" fillId="5" borderId="4" xfId="0" applyFont="1" applyFill="1" applyBorder="1" applyAlignment="1">
      <alignment vertical="top" wrapText="1"/>
    </xf>
    <xf numFmtId="0" fontId="9" fillId="5" borderId="0" xfId="0" applyFont="1" applyFill="1" applyBorder="1" applyAlignment="1">
      <alignment/>
    </xf>
    <xf numFmtId="0" fontId="8" fillId="0" borderId="0" xfId="0" applyFont="1" applyFill="1" applyBorder="1" applyAlignment="1">
      <alignment horizontal="left"/>
    </xf>
    <xf numFmtId="181" fontId="8" fillId="0" borderId="0" xfId="0" applyNumberFormat="1" applyFont="1" applyFill="1" applyBorder="1" applyAlignment="1">
      <alignment horizontal="center"/>
    </xf>
    <xf numFmtId="0" fontId="9" fillId="5" borderId="22" xfId="0" applyFont="1" applyFill="1" applyBorder="1" applyAlignment="1">
      <alignment/>
    </xf>
    <xf numFmtId="3" fontId="7" fillId="0" borderId="22" xfId="0" applyNumberFormat="1" applyFont="1" applyFill="1" applyBorder="1" applyAlignment="1">
      <alignment/>
    </xf>
    <xf numFmtId="3" fontId="7" fillId="0" borderId="22" xfId="0" applyNumberFormat="1" applyFont="1" applyBorder="1" applyAlignment="1">
      <alignment/>
    </xf>
    <xf numFmtId="3" fontId="7" fillId="0" borderId="12" xfId="0" applyNumberFormat="1" applyFont="1" applyBorder="1" applyAlignment="1">
      <alignment/>
    </xf>
    <xf numFmtId="3" fontId="7" fillId="0" borderId="12" xfId="0" applyNumberFormat="1" applyFont="1" applyFill="1" applyBorder="1" applyAlignment="1">
      <alignment/>
    </xf>
    <xf numFmtId="181" fontId="7" fillId="0" borderId="0" xfId="17" applyNumberFormat="1" applyFont="1" applyBorder="1" applyAlignment="1">
      <alignment horizontal="center" vertical="top" wrapText="1"/>
    </xf>
    <xf numFmtId="181" fontId="7" fillId="0" borderId="0" xfId="17" applyNumberFormat="1" applyFont="1" applyBorder="1" applyAlignment="1">
      <alignment horizontal="right" vertical="top" wrapText="1"/>
    </xf>
    <xf numFmtId="0" fontId="7" fillId="6" borderId="0" xfId="0" applyFont="1" applyFill="1" applyBorder="1" applyAlignment="1">
      <alignment/>
    </xf>
    <xf numFmtId="0" fontId="8" fillId="6" borderId="0" xfId="0" applyFont="1" applyFill="1" applyBorder="1" applyAlignment="1">
      <alignment horizontal="center" vertical="center" wrapText="1"/>
    </xf>
    <xf numFmtId="0" fontId="8" fillId="6" borderId="0" xfId="0" applyFont="1" applyFill="1" applyBorder="1" applyAlignment="1">
      <alignment vertical="top" wrapText="1"/>
    </xf>
    <xf numFmtId="0" fontId="8" fillId="6" borderId="0" xfId="0" applyFont="1" applyFill="1" applyBorder="1" applyAlignment="1">
      <alignment horizontal="left"/>
    </xf>
    <xf numFmtId="181" fontId="8" fillId="6" borderId="0" xfId="0" applyNumberFormat="1" applyFont="1" applyFill="1" applyBorder="1" applyAlignment="1">
      <alignment horizont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top"/>
    </xf>
    <xf numFmtId="170" fontId="7" fillId="0" borderId="0" xfId="17" applyNumberFormat="1" applyFont="1" applyFill="1" applyBorder="1" applyAlignment="1">
      <alignment horizontal="right" vertical="top" wrapText="1"/>
    </xf>
    <xf numFmtId="181" fontId="8" fillId="0" borderId="0" xfId="17" applyNumberFormat="1" applyFont="1" applyBorder="1" applyAlignment="1">
      <alignment horizontal="right" vertical="top" wrapText="1"/>
    </xf>
    <xf numFmtId="0" fontId="7" fillId="3" borderId="0" xfId="0" applyFont="1" applyFill="1" applyBorder="1" applyAlignment="1">
      <alignment vertical="top" wrapText="1"/>
    </xf>
    <xf numFmtId="9" fontId="7" fillId="3" borderId="0" xfId="21" applyFont="1" applyFill="1" applyBorder="1" applyAlignment="1">
      <alignment vertical="top" wrapText="1"/>
    </xf>
    <xf numFmtId="0" fontId="8" fillId="3" borderId="0" xfId="0" applyFont="1" applyFill="1" applyBorder="1" applyAlignment="1">
      <alignment vertical="top" wrapText="1"/>
    </xf>
    <xf numFmtId="0" fontId="7" fillId="0" borderId="33" xfId="0" applyFont="1" applyBorder="1" applyAlignment="1">
      <alignment/>
    </xf>
    <xf numFmtId="0" fontId="7" fillId="0" borderId="34" xfId="0" applyFont="1" applyBorder="1" applyAlignment="1">
      <alignment vertical="top" wrapText="1"/>
    </xf>
    <xf numFmtId="0" fontId="9" fillId="0" borderId="35" xfId="0" applyFont="1" applyBorder="1" applyAlignment="1">
      <alignment/>
    </xf>
    <xf numFmtId="0" fontId="9" fillId="0" borderId="36" xfId="0" applyFont="1" applyBorder="1" applyAlignment="1">
      <alignment/>
    </xf>
    <xf numFmtId="0" fontId="9" fillId="0" borderId="36" xfId="0" applyFont="1" applyFill="1" applyBorder="1" applyAlignment="1">
      <alignment/>
    </xf>
    <xf numFmtId="0" fontId="7" fillId="0" borderId="34" xfId="0" applyFont="1" applyBorder="1" applyAlignment="1">
      <alignment/>
    </xf>
    <xf numFmtId="0" fontId="7" fillId="0" borderId="0" xfId="0" applyFont="1" applyBorder="1" applyAlignment="1">
      <alignment horizontal="left" vertical="top" wrapText="1" indent="2"/>
    </xf>
    <xf numFmtId="0" fontId="7" fillId="0" borderId="0" xfId="0" applyFont="1" applyBorder="1" applyAlignment="1">
      <alignment horizontal="left" vertical="top" indent="2"/>
    </xf>
    <xf numFmtId="0" fontId="7" fillId="0" borderId="0" xfId="0" applyFont="1" applyBorder="1" applyAlignment="1">
      <alignment horizontal="left" indent="2"/>
    </xf>
    <xf numFmtId="0" fontId="7" fillId="0" borderId="0" xfId="0" applyFont="1" applyFill="1" applyBorder="1" applyAlignment="1">
      <alignment horizontal="left" indent="2"/>
    </xf>
    <xf numFmtId="0" fontId="8" fillId="3" borderId="0" xfId="0" applyFont="1" applyFill="1" applyBorder="1" applyAlignment="1">
      <alignment horizontal="center" vertical="center" wrapText="1"/>
    </xf>
    <xf numFmtId="0" fontId="13" fillId="0" borderId="0" xfId="0" applyFont="1" applyBorder="1" applyAlignment="1">
      <alignment/>
    </xf>
    <xf numFmtId="9" fontId="8" fillId="0" borderId="0" xfId="21" applyFont="1" applyBorder="1" applyAlignment="1">
      <alignment horizontal="right" vertical="top" wrapText="1"/>
    </xf>
    <xf numFmtId="9" fontId="8" fillId="0" borderId="0" xfId="21" applyFont="1" applyFill="1" applyBorder="1" applyAlignment="1">
      <alignment horizontal="right" vertical="top" wrapText="1"/>
    </xf>
    <xf numFmtId="181" fontId="8" fillId="0" borderId="0" xfId="17" applyNumberFormat="1" applyFont="1" applyFill="1" applyBorder="1" applyAlignment="1">
      <alignment horizontal="right" vertical="top" wrapText="1"/>
    </xf>
    <xf numFmtId="0" fontId="13" fillId="0" borderId="0" xfId="0" applyFont="1" applyFill="1" applyAlignment="1">
      <alignment horizontal="left"/>
    </xf>
    <xf numFmtId="44" fontId="8" fillId="0" borderId="0" xfId="17" applyFont="1" applyBorder="1" applyAlignment="1">
      <alignment/>
    </xf>
    <xf numFmtId="0" fontId="13" fillId="0" borderId="0" xfId="0" applyFont="1" applyAlignment="1">
      <alignment/>
    </xf>
    <xf numFmtId="0" fontId="13" fillId="0" borderId="0" xfId="0" applyFont="1" applyAlignment="1">
      <alignment horizontal="left" indent="1"/>
    </xf>
    <xf numFmtId="9" fontId="8" fillId="0" borderId="0" xfId="21" applyFont="1" applyBorder="1" applyAlignment="1">
      <alignment/>
    </xf>
    <xf numFmtId="0" fontId="7" fillId="3" borderId="6" xfId="0" applyFont="1" applyFill="1" applyBorder="1" applyAlignment="1">
      <alignment horizontal="center"/>
    </xf>
    <xf numFmtId="0" fontId="7" fillId="3" borderId="9" xfId="0" applyFont="1" applyFill="1" applyBorder="1" applyAlignment="1">
      <alignment horizontal="center"/>
    </xf>
    <xf numFmtId="0" fontId="8" fillId="3" borderId="0" xfId="0" applyFont="1" applyFill="1" applyAlignment="1">
      <alignment/>
    </xf>
    <xf numFmtId="3" fontId="8" fillId="3" borderId="9" xfId="0" applyNumberFormat="1" applyFont="1" applyFill="1" applyBorder="1" applyAlignment="1">
      <alignment/>
    </xf>
    <xf numFmtId="0" fontId="7" fillId="4" borderId="0" xfId="0" applyFont="1" applyFill="1" applyBorder="1" applyAlignment="1">
      <alignment horizontal="center"/>
    </xf>
    <xf numFmtId="0" fontId="7" fillId="4" borderId="1" xfId="0" applyFont="1" applyFill="1" applyBorder="1" applyAlignment="1">
      <alignment horizontal="center"/>
    </xf>
    <xf numFmtId="168" fontId="7" fillId="4" borderId="0" xfId="21" applyNumberFormat="1" applyFont="1" applyFill="1" applyBorder="1" applyAlignment="1">
      <alignment/>
    </xf>
    <xf numFmtId="168" fontId="7" fillId="4" borderId="1" xfId="21" applyNumberFormat="1" applyFont="1" applyFill="1" applyBorder="1" applyAlignment="1">
      <alignment/>
    </xf>
    <xf numFmtId="10" fontId="7" fillId="4" borderId="1" xfId="0" applyNumberFormat="1" applyFont="1" applyFill="1" applyBorder="1" applyAlignment="1">
      <alignment/>
    </xf>
    <xf numFmtId="9" fontId="7" fillId="4" borderId="1" xfId="0" applyNumberFormat="1" applyFont="1" applyFill="1" applyBorder="1" applyAlignment="1">
      <alignment/>
    </xf>
    <xf numFmtId="168" fontId="7" fillId="4" borderId="1" xfId="0" applyNumberFormat="1" applyFont="1" applyFill="1" applyBorder="1" applyAlignment="1">
      <alignment/>
    </xf>
    <xf numFmtId="181" fontId="7" fillId="4" borderId="1" xfId="0" applyNumberFormat="1" applyFont="1" applyFill="1" applyBorder="1" applyAlignment="1">
      <alignment/>
    </xf>
    <xf numFmtId="0" fontId="7" fillId="0" borderId="0" xfId="0" applyFont="1" applyFill="1" applyAlignment="1">
      <alignment horizontal="right"/>
    </xf>
    <xf numFmtId="9" fontId="7" fillId="4" borderId="1" xfId="21" applyNumberFormat="1" applyFont="1" applyFill="1" applyBorder="1" applyAlignment="1">
      <alignment/>
    </xf>
    <xf numFmtId="3" fontId="2" fillId="0" borderId="0" xfId="20" applyNumberFormat="1" applyAlignment="1">
      <alignment/>
    </xf>
    <xf numFmtId="0" fontId="8" fillId="7" borderId="0" xfId="0" applyFont="1" applyFill="1" applyBorder="1" applyAlignment="1">
      <alignment horizontal="center"/>
    </xf>
    <xf numFmtId="0" fontId="8" fillId="3" borderId="10" xfId="0" applyFont="1" applyFill="1" applyBorder="1" applyAlignment="1">
      <alignment vertical="top" wrapText="1"/>
    </xf>
    <xf numFmtId="0" fontId="8" fillId="3" borderId="6" xfId="0" applyFont="1" applyFill="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181" fontId="7" fillId="8" borderId="0" xfId="17" applyNumberFormat="1" applyFont="1" applyFill="1" applyBorder="1" applyAlignment="1">
      <alignment horizontal="center"/>
    </xf>
    <xf numFmtId="181" fontId="7" fillId="8" borderId="1" xfId="17"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boston.com/business/globe/articles/2007/11/06/online_figures/"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X94"/>
  <sheetViews>
    <sheetView showGridLines="0" tabSelected="1" zoomScale="110" zoomScaleNormal="110" workbookViewId="0" topLeftCell="A1">
      <pane xSplit="1" topLeftCell="B1" activePane="topRight" state="frozen"/>
      <selection pane="topLeft" activeCell="A1" sqref="A1"/>
      <selection pane="topRight" activeCell="A3" sqref="A3"/>
    </sheetView>
  </sheetViews>
  <sheetFormatPr defaultColWidth="8.8515625" defaultRowHeight="12.75"/>
  <cols>
    <col min="1" max="1" width="41.421875" style="26" bestFit="1" customWidth="1"/>
    <col min="2" max="2" width="12.8515625" style="26" bestFit="1" customWidth="1"/>
    <col min="3" max="3" width="14.00390625" style="26" bestFit="1" customWidth="1"/>
    <col min="4" max="4" width="13.421875" style="26" bestFit="1" customWidth="1"/>
    <col min="5" max="5" width="19.421875" style="26" customWidth="1"/>
    <col min="6" max="6" width="0.9921875" style="26" customWidth="1"/>
    <col min="7" max="7" width="12.140625" style="26" bestFit="1" customWidth="1"/>
    <col min="8" max="11" width="8.421875" style="26" bestFit="1" customWidth="1"/>
    <col min="12" max="25" width="9.8515625" style="26" bestFit="1" customWidth="1"/>
    <col min="26" max="28" width="8.8515625" style="26" customWidth="1"/>
    <col min="29" max="29" width="8.8515625" style="26" bestFit="1" customWidth="1"/>
    <col min="30" max="42" width="10.28125" style="26" bestFit="1" customWidth="1"/>
    <col min="43" max="16384" width="8.8515625" style="26" customWidth="1"/>
  </cols>
  <sheetData>
    <row r="2" spans="1:6" ht="12.75">
      <c r="A2" s="343" t="s">
        <v>329</v>
      </c>
      <c r="B2" s="343"/>
      <c r="C2" s="343"/>
      <c r="D2" s="343"/>
      <c r="E2" s="55"/>
      <c r="F2" s="55"/>
    </row>
    <row r="3" spans="1:7" ht="12.75">
      <c r="A3" s="295"/>
      <c r="B3" s="296" t="s">
        <v>319</v>
      </c>
      <c r="C3" s="296" t="s">
        <v>320</v>
      </c>
      <c r="D3" s="296" t="s">
        <v>321</v>
      </c>
      <c r="E3" s="59"/>
      <c r="F3" s="59"/>
      <c r="G3" s="46"/>
    </row>
    <row r="4" spans="1:6" ht="12.75">
      <c r="A4" s="297"/>
      <c r="B4" s="275"/>
      <c r="C4" s="274"/>
      <c r="D4" s="274"/>
      <c r="E4" s="55"/>
      <c r="F4" s="55"/>
    </row>
    <row r="5" spans="1:7" ht="12.75">
      <c r="A5" s="298" t="s">
        <v>271</v>
      </c>
      <c r="B5" s="276">
        <f>B45</f>
        <v>4951525.981611751</v>
      </c>
      <c r="C5" s="276">
        <f>C45</f>
        <v>11352015.544698527</v>
      </c>
      <c r="D5" s="276">
        <f>D45</f>
        <v>20301861.87213539</v>
      </c>
      <c r="E5" s="55"/>
      <c r="F5" s="55"/>
      <c r="G5" s="153"/>
    </row>
    <row r="6" spans="1:6" ht="12.75">
      <c r="A6" s="274"/>
      <c r="B6" s="275"/>
      <c r="C6" s="274"/>
      <c r="D6" s="274"/>
      <c r="E6" s="55"/>
      <c r="F6" s="55"/>
    </row>
    <row r="7" spans="1:6" ht="12.75">
      <c r="A7" s="298" t="s">
        <v>272</v>
      </c>
      <c r="B7" s="276">
        <f>B76</f>
        <v>5532795</v>
      </c>
      <c r="C7" s="276">
        <f>C76</f>
        <v>7927823.875</v>
      </c>
      <c r="D7" s="276">
        <f>D76</f>
        <v>10490457.829687499</v>
      </c>
      <c r="E7" s="55"/>
      <c r="F7" s="55"/>
    </row>
    <row r="8" spans="1:6" ht="12.75">
      <c r="A8" s="274"/>
      <c r="B8" s="275"/>
      <c r="C8" s="274"/>
      <c r="D8" s="274"/>
      <c r="E8" s="55"/>
      <c r="F8" s="55"/>
    </row>
    <row r="9" spans="1:6" ht="12.75">
      <c r="A9" s="298" t="s">
        <v>115</v>
      </c>
      <c r="B9" s="299">
        <f>B5-B7</f>
        <v>-581269.018388249</v>
      </c>
      <c r="C9" s="299">
        <f>C5-C7</f>
        <v>3424191.669698527</v>
      </c>
      <c r="D9" s="299">
        <f>D5-D7</f>
        <v>9811404.042447891</v>
      </c>
      <c r="E9" s="55"/>
      <c r="F9" s="55"/>
    </row>
    <row r="10" spans="1:6" s="45" customFormat="1" ht="12.75">
      <c r="A10" s="286"/>
      <c r="B10" s="287"/>
      <c r="C10" s="287"/>
      <c r="D10" s="287"/>
      <c r="E10" s="205"/>
      <c r="F10" s="205"/>
    </row>
    <row r="11" spans="1:6" ht="13.5" thickBot="1">
      <c r="A11" s="55"/>
      <c r="B11" s="56"/>
      <c r="C11" s="55"/>
      <c r="D11" s="55"/>
      <c r="E11" s="55"/>
      <c r="F11" s="55"/>
    </row>
    <row r="12" spans="1:42" ht="12.75">
      <c r="A12" s="300"/>
      <c r="B12" s="301"/>
      <c r="C12" s="301"/>
      <c r="D12" s="301"/>
      <c r="E12" s="308"/>
      <c r="F12" s="254"/>
      <c r="G12" s="53" t="s">
        <v>319</v>
      </c>
      <c r="H12" s="54"/>
      <c r="I12" s="54"/>
      <c r="J12" s="54"/>
      <c r="K12" s="54"/>
      <c r="L12" s="54"/>
      <c r="M12" s="54"/>
      <c r="N12" s="54"/>
      <c r="O12" s="54"/>
      <c r="P12" s="54"/>
      <c r="Q12" s="54"/>
      <c r="R12" s="39"/>
      <c r="S12" s="53" t="s">
        <v>320</v>
      </c>
      <c r="T12" s="54"/>
      <c r="U12" s="54"/>
      <c r="V12" s="54"/>
      <c r="W12" s="54"/>
      <c r="X12" s="54"/>
      <c r="Y12" s="54"/>
      <c r="Z12" s="54"/>
      <c r="AA12" s="54"/>
      <c r="AB12" s="54"/>
      <c r="AC12" s="54"/>
      <c r="AD12" s="39"/>
      <c r="AE12" s="53" t="s">
        <v>321</v>
      </c>
      <c r="AF12" s="54"/>
      <c r="AG12" s="54"/>
      <c r="AH12" s="54"/>
      <c r="AI12" s="54"/>
      <c r="AJ12" s="54"/>
      <c r="AK12" s="54"/>
      <c r="AL12" s="54"/>
      <c r="AM12" s="54"/>
      <c r="AN12" s="54"/>
      <c r="AO12" s="54"/>
      <c r="AP12" s="39"/>
    </row>
    <row r="13" spans="1:42" ht="13.5" customHeight="1" thickBot="1">
      <c r="A13" s="307" t="s">
        <v>271</v>
      </c>
      <c r="B13" s="318" t="s">
        <v>319</v>
      </c>
      <c r="C13" s="318" t="s">
        <v>320</v>
      </c>
      <c r="D13" s="318" t="s">
        <v>321</v>
      </c>
      <c r="E13" s="309" t="s">
        <v>330</v>
      </c>
      <c r="F13" s="284"/>
      <c r="G13" s="279" t="s">
        <v>323</v>
      </c>
      <c r="H13" s="280" t="s">
        <v>324</v>
      </c>
      <c r="I13" s="280" t="s">
        <v>325</v>
      </c>
      <c r="J13" s="280" t="s">
        <v>326</v>
      </c>
      <c r="K13" s="280" t="s">
        <v>130</v>
      </c>
      <c r="L13" s="280" t="s">
        <v>131</v>
      </c>
      <c r="M13" s="280" t="s">
        <v>132</v>
      </c>
      <c r="N13" s="280" t="s">
        <v>133</v>
      </c>
      <c r="O13" s="280" t="s">
        <v>134</v>
      </c>
      <c r="P13" s="280" t="s">
        <v>135</v>
      </c>
      <c r="Q13" s="280" t="s">
        <v>136</v>
      </c>
      <c r="R13" s="280" t="s">
        <v>137</v>
      </c>
      <c r="S13" s="279" t="s">
        <v>323</v>
      </c>
      <c r="T13" s="280" t="s">
        <v>324</v>
      </c>
      <c r="U13" s="280" t="s">
        <v>325</v>
      </c>
      <c r="V13" s="280" t="s">
        <v>326</v>
      </c>
      <c r="W13" s="280" t="s">
        <v>130</v>
      </c>
      <c r="X13" s="280" t="s">
        <v>131</v>
      </c>
      <c r="Y13" s="280" t="s">
        <v>132</v>
      </c>
      <c r="Z13" s="280" t="s">
        <v>133</v>
      </c>
      <c r="AA13" s="280" t="s">
        <v>134</v>
      </c>
      <c r="AB13" s="280" t="s">
        <v>135</v>
      </c>
      <c r="AC13" s="280" t="s">
        <v>136</v>
      </c>
      <c r="AD13" s="280" t="s">
        <v>137</v>
      </c>
      <c r="AE13" s="281" t="s">
        <v>323</v>
      </c>
      <c r="AF13" s="282" t="s">
        <v>324</v>
      </c>
      <c r="AG13" s="282" t="s">
        <v>325</v>
      </c>
      <c r="AH13" s="282" t="s">
        <v>326</v>
      </c>
      <c r="AI13" s="282" t="s">
        <v>130</v>
      </c>
      <c r="AJ13" s="282" t="s">
        <v>131</v>
      </c>
      <c r="AK13" s="282" t="s">
        <v>132</v>
      </c>
      <c r="AL13" s="282" t="s">
        <v>133</v>
      </c>
      <c r="AM13" s="282" t="s">
        <v>134</v>
      </c>
      <c r="AN13" s="282" t="s">
        <v>135</v>
      </c>
      <c r="AO13" s="282" t="s">
        <v>136</v>
      </c>
      <c r="AP13" s="283" t="s">
        <v>137</v>
      </c>
    </row>
    <row r="14" spans="1:42" ht="12.75">
      <c r="A14" s="46"/>
      <c r="B14" s="47"/>
      <c r="C14" s="47"/>
      <c r="D14" s="47"/>
      <c r="E14" s="310"/>
      <c r="F14" s="285"/>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15"/>
    </row>
    <row r="15" spans="1:42" ht="12.75" customHeight="1">
      <c r="A15" s="36" t="s">
        <v>194</v>
      </c>
      <c r="B15" s="47"/>
      <c r="C15" s="47"/>
      <c r="D15" s="47"/>
      <c r="E15" s="310"/>
      <c r="F15" s="285"/>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15"/>
    </row>
    <row r="16" spans="1:42" ht="12" customHeight="1">
      <c r="A16" s="314" t="s">
        <v>100</v>
      </c>
      <c r="B16" s="49">
        <f>'Revenue - Website'!C8</f>
        <v>1988495.0526315789</v>
      </c>
      <c r="C16" s="49">
        <f>'Revenue - Website'!D8</f>
        <v>5787423.22105263</v>
      </c>
      <c r="D16" s="49">
        <f>'Revenue - Website'!E8</f>
        <v>9972955.799999997</v>
      </c>
      <c r="E16" s="310"/>
      <c r="F16" s="285"/>
      <c r="G16" s="48">
        <f>'Revenue - Website'!B78</f>
        <v>39243.52631578948</v>
      </c>
      <c r="H16" s="48">
        <f>'Revenue - Website'!C78</f>
        <v>62237.052631578954</v>
      </c>
      <c r="I16" s="48">
        <f>'Revenue - Website'!D78</f>
        <v>85230.57894736843</v>
      </c>
      <c r="J16" s="48">
        <f>'Revenue - Website'!E78</f>
        <v>108224.10526315791</v>
      </c>
      <c r="K16" s="48">
        <f>'Revenue - Website'!F78</f>
        <v>131217.6315789474</v>
      </c>
      <c r="L16" s="48">
        <f>'Revenue - Website'!G78</f>
        <v>154211.15789473685</v>
      </c>
      <c r="M16" s="48">
        <f>'Revenue - Website'!H78</f>
        <v>177204.68421052632</v>
      </c>
      <c r="N16" s="48">
        <f>'Revenue - Website'!I78</f>
        <v>200198.21052631582</v>
      </c>
      <c r="O16" s="48">
        <f>'Revenue - Website'!J78</f>
        <v>223191.73684210528</v>
      </c>
      <c r="P16" s="48">
        <f>'Revenue - Website'!K78</f>
        <v>246185.26315789478</v>
      </c>
      <c r="Q16" s="48">
        <f>'Revenue - Website'!L78</f>
        <v>269178.78947368416</v>
      </c>
      <c r="R16" s="48">
        <f>'Revenue - Website'!M78</f>
        <v>292172.3157894737</v>
      </c>
      <c r="S16" s="48">
        <f>'Revenue - Website'!N78</f>
        <v>348642.6210526315</v>
      </c>
      <c r="T16" s="48">
        <f>'Revenue - Website'!O78</f>
        <v>372941.2842105263</v>
      </c>
      <c r="U16" s="48">
        <f>'Revenue - Website'!P78</f>
        <v>397239.947368421</v>
      </c>
      <c r="V16" s="48">
        <f>'Revenue - Website'!Q78</f>
        <v>421538.61052631575</v>
      </c>
      <c r="W16" s="48">
        <f>'Revenue - Website'!R78</f>
        <v>445837.2736842103</v>
      </c>
      <c r="X16" s="48">
        <f>'Revenue - Website'!S78</f>
        <v>470135.9368421052</v>
      </c>
      <c r="Y16" s="48">
        <f>'Revenue - Website'!T78</f>
        <v>494434.5999999998</v>
      </c>
      <c r="Z16" s="48">
        <f>'Revenue - Website'!U78</f>
        <v>518733.2631578946</v>
      </c>
      <c r="AA16" s="48">
        <f>'Revenue - Website'!V78</f>
        <v>543031.9263157893</v>
      </c>
      <c r="AB16" s="48">
        <f>'Revenue - Website'!W78</f>
        <v>567330.589473684</v>
      </c>
      <c r="AC16" s="48">
        <f>'Revenue - Website'!X78</f>
        <v>591629.2526315787</v>
      </c>
      <c r="AD16" s="48">
        <f>'Revenue - Website'!Y78</f>
        <v>615927.9157894738</v>
      </c>
      <c r="AE16" s="48">
        <f>'Revenue - Website'!Z78</f>
        <v>690258.75</v>
      </c>
      <c r="AF16" s="48">
        <f>'Revenue - Website'!AA78</f>
        <v>715862.55</v>
      </c>
      <c r="AG16" s="48">
        <f>'Revenue - Website'!AB78</f>
        <v>741466.35</v>
      </c>
      <c r="AH16" s="48">
        <f>'Revenue - Website'!AC78</f>
        <v>767070.15</v>
      </c>
      <c r="AI16" s="48">
        <f>'Revenue - Website'!AD78</f>
        <v>792673.9499999998</v>
      </c>
      <c r="AJ16" s="48">
        <f>'Revenue - Website'!AE78</f>
        <v>818277.7499999998</v>
      </c>
      <c r="AK16" s="48">
        <f>'Revenue - Website'!AF78</f>
        <v>843881.5499999998</v>
      </c>
      <c r="AL16" s="48">
        <f>'Revenue - Website'!AG78</f>
        <v>869485.3499999997</v>
      </c>
      <c r="AM16" s="48">
        <f>'Revenue - Website'!AH78</f>
        <v>895089.1499999997</v>
      </c>
      <c r="AN16" s="48">
        <f>'Revenue - Website'!AI78</f>
        <v>920692.9499999996</v>
      </c>
      <c r="AO16" s="48">
        <f>'Revenue - Website'!AJ78</f>
        <v>946296.7499999999</v>
      </c>
      <c r="AP16" s="15">
        <f>'Revenue - Website'!AK78</f>
        <v>971900.5499999999</v>
      </c>
    </row>
    <row r="17" spans="1:42" ht="12.75">
      <c r="A17" s="315" t="s">
        <v>101</v>
      </c>
      <c r="B17" s="49">
        <f>SUM('Revenue - Website'!B75:M75)</f>
        <v>260717.59564683947</v>
      </c>
      <c r="C17" s="49">
        <f>SUM('Revenue - Website'!N75:Y75)</f>
        <v>744867.1832950201</v>
      </c>
      <c r="D17" s="49">
        <f>SUM('Revenue - Website'!Z75:AK75)</f>
        <v>1691192.1328810086</v>
      </c>
      <c r="E17" s="310"/>
      <c r="F17" s="285"/>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15"/>
    </row>
    <row r="18" spans="1:42" ht="12.75" customHeight="1">
      <c r="A18" s="36" t="s">
        <v>285</v>
      </c>
      <c r="B18" s="49">
        <f>SUM(B16:B17)</f>
        <v>2249212.6482784185</v>
      </c>
      <c r="C18" s="49">
        <f>SUM(C16:C17)</f>
        <v>6532290.40434765</v>
      </c>
      <c r="D18" s="49">
        <f>SUM(D16:D17)</f>
        <v>11664147.932881005</v>
      </c>
      <c r="E18" s="310"/>
      <c r="F18" s="285"/>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15"/>
    </row>
    <row r="19" spans="1:42" ht="12.75">
      <c r="A19" s="50"/>
      <c r="B19" s="293"/>
      <c r="C19" s="294"/>
      <c r="D19" s="294"/>
      <c r="E19" s="310"/>
      <c r="F19" s="285"/>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15"/>
    </row>
    <row r="20" spans="1:42" ht="12.75">
      <c r="A20" s="302" t="s">
        <v>273</v>
      </c>
      <c r="B20" s="47"/>
      <c r="C20" s="47"/>
      <c r="D20" s="47"/>
      <c r="E20" s="310"/>
      <c r="F20" s="285"/>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15"/>
    </row>
    <row r="21" spans="1:42" ht="12.75">
      <c r="A21" s="316" t="s">
        <v>274</v>
      </c>
      <c r="B21" s="49">
        <f>'Revenue - B-to-C'!C4</f>
        <v>17752.98245614035</v>
      </c>
      <c r="C21" s="49">
        <f>'Revenue - B-to-C'!D4</f>
        <v>49708.35087719299</v>
      </c>
      <c r="D21" s="49">
        <f>'Revenue - B-to-C'!E4</f>
        <v>95866.10526315788</v>
      </c>
      <c r="E21" s="310" t="str">
        <f>'Revenue - B-to-C'!F4</f>
        <v>year 1 launch</v>
      </c>
      <c r="F21" s="285"/>
      <c r="G21" s="48">
        <f>'Revenue - B-to-C'!H4</f>
        <v>1479.4152046783627</v>
      </c>
      <c r="H21" s="48">
        <f>'Revenue - B-to-C'!I4</f>
        <v>1479.4152046783627</v>
      </c>
      <c r="I21" s="48">
        <f>'Revenue - B-to-C'!J4</f>
        <v>1479.4152046783627</v>
      </c>
      <c r="J21" s="48">
        <f>'Revenue - B-to-C'!K4</f>
        <v>1479.4152046783627</v>
      </c>
      <c r="K21" s="48">
        <f>'Revenue - B-to-C'!L4</f>
        <v>1479.4152046783627</v>
      </c>
      <c r="L21" s="48">
        <f>'Revenue - B-to-C'!M4</f>
        <v>1479.4152046783627</v>
      </c>
      <c r="M21" s="48">
        <f>'Revenue - B-to-C'!N4</f>
        <v>1479.4152046783627</v>
      </c>
      <c r="N21" s="48">
        <f>'Revenue - B-to-C'!O4</f>
        <v>1479.4152046783627</v>
      </c>
      <c r="O21" s="48">
        <f>'Revenue - B-to-C'!P4</f>
        <v>1479.4152046783627</v>
      </c>
      <c r="P21" s="48">
        <f>'Revenue - B-to-C'!Q4</f>
        <v>1479.4152046783627</v>
      </c>
      <c r="Q21" s="48">
        <f>'Revenue - B-to-C'!R4</f>
        <v>1479.4152046783627</v>
      </c>
      <c r="R21" s="48">
        <f>'Revenue - B-to-C'!S4</f>
        <v>1479.4152046783627</v>
      </c>
      <c r="S21" s="48">
        <f>'Revenue - B-to-C'!T4</f>
        <v>4142.362573099416</v>
      </c>
      <c r="T21" s="48">
        <f>'Revenue - B-to-C'!U4</f>
        <v>4142.362573099416</v>
      </c>
      <c r="U21" s="48">
        <f>'Revenue - B-to-C'!V4</f>
        <v>4142.362573099416</v>
      </c>
      <c r="V21" s="48">
        <f>'Revenue - B-to-C'!W4</f>
        <v>4142.362573099416</v>
      </c>
      <c r="W21" s="48">
        <f>'Revenue - B-to-C'!X4</f>
        <v>4142.362573099416</v>
      </c>
      <c r="X21" s="48">
        <f>'Revenue - B-to-C'!Y4</f>
        <v>4142.362573099416</v>
      </c>
      <c r="Y21" s="48">
        <f>'Revenue - B-to-C'!Z4</f>
        <v>4142.362573099416</v>
      </c>
      <c r="Z21" s="48">
        <f>'Revenue - B-to-C'!AA4</f>
        <v>4142.362573099416</v>
      </c>
      <c r="AA21" s="48">
        <f>'Revenue - B-to-C'!AB4</f>
        <v>4142.362573099416</v>
      </c>
      <c r="AB21" s="48">
        <f>'Revenue - B-to-C'!AC4</f>
        <v>4142.362573099416</v>
      </c>
      <c r="AC21" s="48">
        <f>'Revenue - B-to-C'!AD4</f>
        <v>4142.362573099416</v>
      </c>
      <c r="AD21" s="48">
        <f>'Revenue - B-to-C'!AE4</f>
        <v>4142.362573099416</v>
      </c>
      <c r="AE21" s="48">
        <f>'Revenue - B-to-C'!AF4</f>
        <v>7988.842105263157</v>
      </c>
      <c r="AF21" s="48">
        <f>'Revenue - B-to-C'!AG4</f>
        <v>7988.842105263157</v>
      </c>
      <c r="AG21" s="48">
        <f>'Revenue - B-to-C'!AH4</f>
        <v>7988.842105263157</v>
      </c>
      <c r="AH21" s="48">
        <f>'Revenue - B-to-C'!AI4</f>
        <v>7988.842105263157</v>
      </c>
      <c r="AI21" s="48">
        <f>'Revenue - B-to-C'!AJ4</f>
        <v>7988.842105263157</v>
      </c>
      <c r="AJ21" s="48">
        <f>'Revenue - B-to-C'!AK4</f>
        <v>7988.842105263157</v>
      </c>
      <c r="AK21" s="48">
        <f>'Revenue - B-to-C'!AL4</f>
        <v>7988.842105263157</v>
      </c>
      <c r="AL21" s="48">
        <f>'Revenue - B-to-C'!AM4</f>
        <v>7988.842105263157</v>
      </c>
      <c r="AM21" s="48">
        <f>'Revenue - B-to-C'!AN4</f>
        <v>7988.842105263157</v>
      </c>
      <c r="AN21" s="48">
        <f>'Revenue - B-to-C'!AO4</f>
        <v>7988.842105263157</v>
      </c>
      <c r="AO21" s="48">
        <f>'Revenue - B-to-C'!AP4</f>
        <v>7988.842105263157</v>
      </c>
      <c r="AP21" s="15">
        <f>'Revenue - B-to-C'!AQ4</f>
        <v>7988.842105263157</v>
      </c>
    </row>
    <row r="22" spans="1:42" ht="12.75">
      <c r="A22" s="316" t="s">
        <v>275</v>
      </c>
      <c r="B22" s="49">
        <f>'Revenue - B-to-C'!C6</f>
        <v>416000</v>
      </c>
      <c r="C22" s="49">
        <f>'Revenue - B-to-C'!D6</f>
        <v>416000</v>
      </c>
      <c r="D22" s="49">
        <f>'Revenue - B-to-C'!E6</f>
        <v>416000</v>
      </c>
      <c r="E22" s="310" t="str">
        <f>'Revenue - B-to-C'!F6</f>
        <v>year 1 launch</v>
      </c>
      <c r="F22" s="285"/>
      <c r="G22" s="48">
        <f>'Revenue - B-to-C'!H6</f>
        <v>34666.666666666664</v>
      </c>
      <c r="H22" s="48">
        <f>'Revenue - B-to-C'!I6</f>
        <v>34666.666666666664</v>
      </c>
      <c r="I22" s="48">
        <f>'Revenue - B-to-C'!J6</f>
        <v>34666.666666666664</v>
      </c>
      <c r="J22" s="48">
        <f>'Revenue - B-to-C'!K6</f>
        <v>34666.666666666664</v>
      </c>
      <c r="K22" s="48">
        <f>'Revenue - B-to-C'!L6</f>
        <v>34666.666666666664</v>
      </c>
      <c r="L22" s="48">
        <f>'Revenue - B-to-C'!M6</f>
        <v>34666.666666666664</v>
      </c>
      <c r="M22" s="48">
        <f>'Revenue - B-to-C'!N6</f>
        <v>34666.666666666664</v>
      </c>
      <c r="N22" s="48">
        <f>'Revenue - B-to-C'!O6</f>
        <v>34666.666666666664</v>
      </c>
      <c r="O22" s="48">
        <f>'Revenue - B-to-C'!P6</f>
        <v>34666.666666666664</v>
      </c>
      <c r="P22" s="48">
        <f>'Revenue - B-to-C'!Q6</f>
        <v>34666.666666666664</v>
      </c>
      <c r="Q22" s="48">
        <f>'Revenue - B-to-C'!R6</f>
        <v>34666.666666666664</v>
      </c>
      <c r="R22" s="48">
        <f>'Revenue - B-to-C'!S6</f>
        <v>34666.666666666664</v>
      </c>
      <c r="S22" s="48">
        <f>'Revenue - B-to-C'!T6</f>
        <v>34666.666666666664</v>
      </c>
      <c r="T22" s="48">
        <f>'Revenue - B-to-C'!U6</f>
        <v>34666.666666666664</v>
      </c>
      <c r="U22" s="48">
        <f>'Revenue - B-to-C'!V6</f>
        <v>34666.666666666664</v>
      </c>
      <c r="V22" s="48">
        <f>'Revenue - B-to-C'!W6</f>
        <v>34666.666666666664</v>
      </c>
      <c r="W22" s="48">
        <f>'Revenue - B-to-C'!X6</f>
        <v>34666.666666666664</v>
      </c>
      <c r="X22" s="48">
        <f>'Revenue - B-to-C'!Y6</f>
        <v>34666.666666666664</v>
      </c>
      <c r="Y22" s="48">
        <f>'Revenue - B-to-C'!Z6</f>
        <v>34666.666666666664</v>
      </c>
      <c r="Z22" s="48">
        <f>'Revenue - B-to-C'!AA6</f>
        <v>34666.666666666664</v>
      </c>
      <c r="AA22" s="48">
        <f>'Revenue - B-to-C'!AB6</f>
        <v>34666.666666666664</v>
      </c>
      <c r="AB22" s="48">
        <f>'Revenue - B-to-C'!AC6</f>
        <v>34666.666666666664</v>
      </c>
      <c r="AC22" s="48">
        <f>'Revenue - B-to-C'!AD6</f>
        <v>34666.666666666664</v>
      </c>
      <c r="AD22" s="48">
        <f>'Revenue - B-to-C'!AE6</f>
        <v>34666.666666666664</v>
      </c>
      <c r="AE22" s="48">
        <f>'Revenue - B-to-C'!AF6</f>
        <v>34666.666666666664</v>
      </c>
      <c r="AF22" s="48">
        <f>'Revenue - B-to-C'!AG6</f>
        <v>34666.666666666664</v>
      </c>
      <c r="AG22" s="48">
        <f>'Revenue - B-to-C'!AH6</f>
        <v>34666.666666666664</v>
      </c>
      <c r="AH22" s="48">
        <f>'Revenue - B-to-C'!AI6</f>
        <v>34666.666666666664</v>
      </c>
      <c r="AI22" s="48">
        <f>'Revenue - B-to-C'!AJ6</f>
        <v>34666.666666666664</v>
      </c>
      <c r="AJ22" s="48">
        <f>'Revenue - B-to-C'!AK6</f>
        <v>34666.666666666664</v>
      </c>
      <c r="AK22" s="48">
        <f>'Revenue - B-to-C'!AL6</f>
        <v>34666.666666666664</v>
      </c>
      <c r="AL22" s="48">
        <f>'Revenue - B-to-C'!AM6</f>
        <v>34666.666666666664</v>
      </c>
      <c r="AM22" s="48">
        <f>'Revenue - B-to-C'!AN6</f>
        <v>34666.666666666664</v>
      </c>
      <c r="AN22" s="48">
        <f>'Revenue - B-to-C'!AO6</f>
        <v>34666.666666666664</v>
      </c>
      <c r="AO22" s="48">
        <f>'Revenue - B-to-C'!AP6</f>
        <v>34666.666666666664</v>
      </c>
      <c r="AP22" s="15">
        <f>'Revenue - B-to-C'!AQ6</f>
        <v>34666.666666666664</v>
      </c>
    </row>
    <row r="23" spans="1:42" ht="12.75">
      <c r="A23" s="316" t="s">
        <v>276</v>
      </c>
      <c r="B23" s="49">
        <f>'Revenue - B-to-C'!C8</f>
        <v>165000</v>
      </c>
      <c r="C23" s="49">
        <f>'Revenue - B-to-C'!D8</f>
        <v>275000</v>
      </c>
      <c r="D23" s="49">
        <f>'Revenue - B-to-C'!E8</f>
        <v>330000</v>
      </c>
      <c r="E23" s="310" t="str">
        <f>'Revenue - B-to-C'!F8</f>
        <v>year 1 launch</v>
      </c>
      <c r="F23" s="285"/>
      <c r="G23" s="48">
        <f>'Revenue - B-to-C'!H8</f>
        <v>13750</v>
      </c>
      <c r="H23" s="48">
        <f>'Revenue - B-to-C'!I8</f>
        <v>13750</v>
      </c>
      <c r="I23" s="48">
        <f>'Revenue - B-to-C'!J8</f>
        <v>13750</v>
      </c>
      <c r="J23" s="48">
        <f>'Revenue - B-to-C'!K8</f>
        <v>13750</v>
      </c>
      <c r="K23" s="48">
        <f>'Revenue - B-to-C'!L8</f>
        <v>13750</v>
      </c>
      <c r="L23" s="48">
        <f>'Revenue - B-to-C'!M8</f>
        <v>13750</v>
      </c>
      <c r="M23" s="48">
        <f>'Revenue - B-to-C'!N8</f>
        <v>13750</v>
      </c>
      <c r="N23" s="48">
        <f>'Revenue - B-to-C'!O8</f>
        <v>13750</v>
      </c>
      <c r="O23" s="48">
        <f>'Revenue - B-to-C'!P8</f>
        <v>13750</v>
      </c>
      <c r="P23" s="48">
        <f>'Revenue - B-to-C'!Q8</f>
        <v>13750</v>
      </c>
      <c r="Q23" s="48">
        <f>'Revenue - B-to-C'!R8</f>
        <v>13750</v>
      </c>
      <c r="R23" s="48">
        <f>'Revenue - B-to-C'!S8</f>
        <v>13750</v>
      </c>
      <c r="S23" s="48">
        <f>'Revenue - B-to-C'!T8</f>
        <v>22916.666666666668</v>
      </c>
      <c r="T23" s="48">
        <f>'Revenue - B-to-C'!U8</f>
        <v>22916.666666666668</v>
      </c>
      <c r="U23" s="48">
        <f>'Revenue - B-to-C'!V8</f>
        <v>22916.666666666668</v>
      </c>
      <c r="V23" s="48">
        <f>'Revenue - B-to-C'!W8</f>
        <v>22916.666666666668</v>
      </c>
      <c r="W23" s="48">
        <f>'Revenue - B-to-C'!X8</f>
        <v>22916.666666666668</v>
      </c>
      <c r="X23" s="48">
        <f>'Revenue - B-to-C'!Y8</f>
        <v>22916.666666666668</v>
      </c>
      <c r="Y23" s="48">
        <f>'Revenue - B-to-C'!Z8</f>
        <v>22916.666666666668</v>
      </c>
      <c r="Z23" s="48">
        <f>'Revenue - B-to-C'!AA8</f>
        <v>22916.666666666668</v>
      </c>
      <c r="AA23" s="48">
        <f>'Revenue - B-to-C'!AB8</f>
        <v>22916.666666666668</v>
      </c>
      <c r="AB23" s="48">
        <f>'Revenue - B-to-C'!AC8</f>
        <v>22916.666666666668</v>
      </c>
      <c r="AC23" s="48">
        <f>'Revenue - B-to-C'!AD8</f>
        <v>22916.666666666668</v>
      </c>
      <c r="AD23" s="48">
        <f>'Revenue - B-to-C'!AE8</f>
        <v>22916.666666666668</v>
      </c>
      <c r="AE23" s="48">
        <f>'Revenue - B-to-C'!AF8</f>
        <v>27500</v>
      </c>
      <c r="AF23" s="48">
        <f>'Revenue - B-to-C'!AG8</f>
        <v>27500</v>
      </c>
      <c r="AG23" s="48">
        <f>'Revenue - B-to-C'!AH8</f>
        <v>27500</v>
      </c>
      <c r="AH23" s="48">
        <f>'Revenue - B-to-C'!AI8</f>
        <v>27500</v>
      </c>
      <c r="AI23" s="48">
        <f>'Revenue - B-to-C'!AJ8</f>
        <v>27500</v>
      </c>
      <c r="AJ23" s="48">
        <f>'Revenue - B-to-C'!AK8</f>
        <v>27500</v>
      </c>
      <c r="AK23" s="48">
        <f>'Revenue - B-to-C'!AL8</f>
        <v>27500</v>
      </c>
      <c r="AL23" s="48">
        <f>'Revenue - B-to-C'!AM8</f>
        <v>27500</v>
      </c>
      <c r="AM23" s="48">
        <f>'Revenue - B-to-C'!AN8</f>
        <v>27500</v>
      </c>
      <c r="AN23" s="48">
        <f>'Revenue - B-to-C'!AO8</f>
        <v>27500</v>
      </c>
      <c r="AO23" s="48">
        <f>'Revenue - B-to-C'!AP8</f>
        <v>27500</v>
      </c>
      <c r="AP23" s="15">
        <f>'Revenue - B-to-C'!AQ8</f>
        <v>27500</v>
      </c>
    </row>
    <row r="24" spans="1:42" ht="12.75">
      <c r="A24" s="316" t="s">
        <v>277</v>
      </c>
      <c r="B24" s="49">
        <f>'Revenue - B-to-C'!C10</f>
        <v>75000</v>
      </c>
      <c r="C24" s="49">
        <f>'Revenue - B-to-C'!D10</f>
        <v>75000</v>
      </c>
      <c r="D24" s="49">
        <f>'Revenue - B-to-C'!E10</f>
        <v>75000</v>
      </c>
      <c r="E24" s="310" t="str">
        <f>'Revenue - B-to-C'!F10</f>
        <v>year 1 launch</v>
      </c>
      <c r="F24" s="285"/>
      <c r="G24" s="48">
        <f>'Revenue - B-to-C'!H10</f>
        <v>6250</v>
      </c>
      <c r="H24" s="48">
        <f>'Revenue - B-to-C'!I10</f>
        <v>6250</v>
      </c>
      <c r="I24" s="48">
        <f>'Revenue - B-to-C'!J10</f>
        <v>6250</v>
      </c>
      <c r="J24" s="48">
        <f>'Revenue - B-to-C'!K10</f>
        <v>6250</v>
      </c>
      <c r="K24" s="48">
        <f>'Revenue - B-to-C'!L10</f>
        <v>6250</v>
      </c>
      <c r="L24" s="48">
        <f>'Revenue - B-to-C'!M10</f>
        <v>6250</v>
      </c>
      <c r="M24" s="48">
        <f>'Revenue - B-to-C'!N10</f>
        <v>6250</v>
      </c>
      <c r="N24" s="48">
        <f>'Revenue - B-to-C'!O10</f>
        <v>6250</v>
      </c>
      <c r="O24" s="48">
        <f>'Revenue - B-to-C'!P10</f>
        <v>6250</v>
      </c>
      <c r="P24" s="48">
        <f>'Revenue - B-to-C'!Q10</f>
        <v>6250</v>
      </c>
      <c r="Q24" s="48">
        <f>'Revenue - B-to-C'!R10</f>
        <v>6250</v>
      </c>
      <c r="R24" s="48">
        <f>'Revenue - B-to-C'!S10</f>
        <v>6250</v>
      </c>
      <c r="S24" s="48">
        <f>'Revenue - B-to-C'!T10</f>
        <v>6250</v>
      </c>
      <c r="T24" s="48">
        <f>'Revenue - B-to-C'!U10</f>
        <v>6250</v>
      </c>
      <c r="U24" s="48">
        <f>'Revenue - B-to-C'!V10</f>
        <v>6250</v>
      </c>
      <c r="V24" s="48">
        <f>'Revenue - B-to-C'!W10</f>
        <v>6250</v>
      </c>
      <c r="W24" s="48">
        <f>'Revenue - B-to-C'!X10</f>
        <v>6250</v>
      </c>
      <c r="X24" s="48">
        <f>'Revenue - B-to-C'!Y10</f>
        <v>6250</v>
      </c>
      <c r="Y24" s="48">
        <f>'Revenue - B-to-C'!Z10</f>
        <v>6250</v>
      </c>
      <c r="Z24" s="48">
        <f>'Revenue - B-to-C'!AA10</f>
        <v>6250</v>
      </c>
      <c r="AA24" s="48">
        <f>'Revenue - B-to-C'!AB10</f>
        <v>6250</v>
      </c>
      <c r="AB24" s="48">
        <f>'Revenue - B-to-C'!AC10</f>
        <v>6250</v>
      </c>
      <c r="AC24" s="48">
        <f>'Revenue - B-to-C'!AD10</f>
        <v>6250</v>
      </c>
      <c r="AD24" s="48">
        <f>'Revenue - B-to-C'!AE10</f>
        <v>6250</v>
      </c>
      <c r="AE24" s="48">
        <f>'Revenue - B-to-C'!AF10</f>
        <v>6250</v>
      </c>
      <c r="AF24" s="48">
        <f>'Revenue - B-to-C'!AG10</f>
        <v>6250</v>
      </c>
      <c r="AG24" s="48">
        <f>'Revenue - B-to-C'!AH10</f>
        <v>6250</v>
      </c>
      <c r="AH24" s="48">
        <f>'Revenue - B-to-C'!AI10</f>
        <v>6250</v>
      </c>
      <c r="AI24" s="48">
        <f>'Revenue - B-to-C'!AJ10</f>
        <v>6250</v>
      </c>
      <c r="AJ24" s="48">
        <f>'Revenue - B-to-C'!AK10</f>
        <v>6250</v>
      </c>
      <c r="AK24" s="48">
        <f>'Revenue - B-to-C'!AL10</f>
        <v>6250</v>
      </c>
      <c r="AL24" s="48">
        <f>'Revenue - B-to-C'!AM10</f>
        <v>6250</v>
      </c>
      <c r="AM24" s="48">
        <f>'Revenue - B-to-C'!AN10</f>
        <v>6250</v>
      </c>
      <c r="AN24" s="48">
        <f>'Revenue - B-to-C'!AO10</f>
        <v>6250</v>
      </c>
      <c r="AO24" s="48">
        <f>'Revenue - B-to-C'!AP10</f>
        <v>6250</v>
      </c>
      <c r="AP24" s="15">
        <f>'Revenue - B-to-C'!AQ10</f>
        <v>6250</v>
      </c>
    </row>
    <row r="25" spans="1:42" ht="12.75">
      <c r="A25" s="316" t="s">
        <v>278</v>
      </c>
      <c r="B25" s="49">
        <f>'Revenue - B-to-C'!C12</f>
        <v>25200</v>
      </c>
      <c r="C25" s="49">
        <f>'Revenue - B-to-C'!D12</f>
        <v>29400</v>
      </c>
      <c r="D25" s="49">
        <f>'Revenue - B-to-C'!E12</f>
        <v>36400</v>
      </c>
      <c r="E25" s="310" t="str">
        <f>'Revenue - B-to-C'!F12</f>
        <v>year 1 launch</v>
      </c>
      <c r="F25" s="285"/>
      <c r="G25" s="48">
        <f>'Revenue - B-to-C'!H12</f>
        <v>2100</v>
      </c>
      <c r="H25" s="48">
        <f>'Revenue - B-to-C'!I12</f>
        <v>2100</v>
      </c>
      <c r="I25" s="48">
        <f>'Revenue - B-to-C'!J12</f>
        <v>2100</v>
      </c>
      <c r="J25" s="48">
        <f>'Revenue - B-to-C'!K12</f>
        <v>2100</v>
      </c>
      <c r="K25" s="48">
        <f>'Revenue - B-to-C'!L12</f>
        <v>2100</v>
      </c>
      <c r="L25" s="48">
        <f>'Revenue - B-to-C'!M12</f>
        <v>2100</v>
      </c>
      <c r="M25" s="48">
        <f>'Revenue - B-to-C'!N12</f>
        <v>2100</v>
      </c>
      <c r="N25" s="48">
        <f>'Revenue - B-to-C'!O12</f>
        <v>2100</v>
      </c>
      <c r="O25" s="48">
        <f>'Revenue - B-to-C'!P12</f>
        <v>2100</v>
      </c>
      <c r="P25" s="48">
        <f>'Revenue - B-to-C'!Q12</f>
        <v>2100</v>
      </c>
      <c r="Q25" s="48">
        <f>'Revenue - B-to-C'!R12</f>
        <v>2100</v>
      </c>
      <c r="R25" s="48">
        <f>'Revenue - B-to-C'!S12</f>
        <v>2100</v>
      </c>
      <c r="S25" s="48">
        <f>'Revenue - B-to-C'!T12</f>
        <v>2450</v>
      </c>
      <c r="T25" s="48">
        <f>'Revenue - B-to-C'!U12</f>
        <v>2450</v>
      </c>
      <c r="U25" s="48">
        <f>'Revenue - B-to-C'!V12</f>
        <v>2450</v>
      </c>
      <c r="V25" s="48">
        <f>'Revenue - B-to-C'!W12</f>
        <v>2450</v>
      </c>
      <c r="W25" s="48">
        <f>'Revenue - B-to-C'!X12</f>
        <v>2450</v>
      </c>
      <c r="X25" s="48">
        <f>'Revenue - B-to-C'!Y12</f>
        <v>2450</v>
      </c>
      <c r="Y25" s="48">
        <f>'Revenue - B-to-C'!Z12</f>
        <v>2450</v>
      </c>
      <c r="Z25" s="48">
        <f>'Revenue - B-to-C'!AA12</f>
        <v>2450</v>
      </c>
      <c r="AA25" s="48">
        <f>'Revenue - B-to-C'!AB12</f>
        <v>2450</v>
      </c>
      <c r="AB25" s="48">
        <f>'Revenue - B-to-C'!AC12</f>
        <v>2450</v>
      </c>
      <c r="AC25" s="48">
        <f>'Revenue - B-to-C'!AD12</f>
        <v>2450</v>
      </c>
      <c r="AD25" s="48">
        <f>'Revenue - B-to-C'!AE12</f>
        <v>2450</v>
      </c>
      <c r="AE25" s="48">
        <f>'Revenue - B-to-C'!AF12</f>
        <v>3033.3333333333335</v>
      </c>
      <c r="AF25" s="48">
        <f>'Revenue - B-to-C'!AG12</f>
        <v>3033.3333333333335</v>
      </c>
      <c r="AG25" s="48">
        <f>'Revenue - B-to-C'!AH12</f>
        <v>3033.3333333333335</v>
      </c>
      <c r="AH25" s="48">
        <f>'Revenue - B-to-C'!AI12</f>
        <v>3033.3333333333335</v>
      </c>
      <c r="AI25" s="48">
        <f>'Revenue - B-to-C'!AJ12</f>
        <v>3033.3333333333335</v>
      </c>
      <c r="AJ25" s="48">
        <f>'Revenue - B-to-C'!AK12</f>
        <v>3033.3333333333335</v>
      </c>
      <c r="AK25" s="48">
        <f>'Revenue - B-to-C'!AL12</f>
        <v>3033.3333333333335</v>
      </c>
      <c r="AL25" s="48">
        <f>'Revenue - B-to-C'!AM12</f>
        <v>3033.3333333333335</v>
      </c>
      <c r="AM25" s="48">
        <f>'Revenue - B-to-C'!AN12</f>
        <v>3033.3333333333335</v>
      </c>
      <c r="AN25" s="48">
        <f>'Revenue - B-to-C'!AO12</f>
        <v>3033.3333333333335</v>
      </c>
      <c r="AO25" s="48">
        <f>'Revenue - B-to-C'!AP12</f>
        <v>3033.3333333333335</v>
      </c>
      <c r="AP25" s="15">
        <f>'Revenue - B-to-C'!AQ12</f>
        <v>3033.3333333333335</v>
      </c>
    </row>
    <row r="26" spans="1:42" ht="12.75">
      <c r="A26" s="317" t="s">
        <v>279</v>
      </c>
      <c r="B26" s="49">
        <f>'Revenue - B-to-C'!C14</f>
        <v>7315.78947368421</v>
      </c>
      <c r="C26" s="49">
        <f>'Revenue - B-to-C'!D14</f>
        <v>29263.15789473684</v>
      </c>
      <c r="D26" s="49">
        <f>'Revenue - B-to-C'!E14</f>
        <v>109736.84210526316</v>
      </c>
      <c r="E26" s="310" t="str">
        <f>'Revenue - B-to-C'!F14</f>
        <v>year 1 launch</v>
      </c>
      <c r="F26" s="285"/>
      <c r="G26" s="48">
        <f>'Revenue - B-to-C'!H14</f>
        <v>609.6491228070175</v>
      </c>
      <c r="H26" s="48">
        <f>'Revenue - B-to-C'!I14</f>
        <v>609.6491228070175</v>
      </c>
      <c r="I26" s="48">
        <f>'Revenue - B-to-C'!J14</f>
        <v>609.6491228070175</v>
      </c>
      <c r="J26" s="48">
        <f>'Revenue - B-to-C'!K14</f>
        <v>609.6491228070175</v>
      </c>
      <c r="K26" s="48">
        <f>'Revenue - B-to-C'!L14</f>
        <v>609.6491228070175</v>
      </c>
      <c r="L26" s="48">
        <f>'Revenue - B-to-C'!M14</f>
        <v>609.6491228070175</v>
      </c>
      <c r="M26" s="48">
        <f>'Revenue - B-to-C'!N14</f>
        <v>609.6491228070175</v>
      </c>
      <c r="N26" s="48">
        <f>'Revenue - B-to-C'!O14</f>
        <v>609.6491228070175</v>
      </c>
      <c r="O26" s="48">
        <f>'Revenue - B-to-C'!P14</f>
        <v>609.6491228070175</v>
      </c>
      <c r="P26" s="48">
        <f>'Revenue - B-to-C'!Q14</f>
        <v>609.6491228070175</v>
      </c>
      <c r="Q26" s="48">
        <f>'Revenue - B-to-C'!R14</f>
        <v>609.6491228070175</v>
      </c>
      <c r="R26" s="48">
        <f>'Revenue - B-to-C'!S14</f>
        <v>2438.59649122807</v>
      </c>
      <c r="S26" s="48">
        <f>'Revenue - B-to-C'!T14</f>
        <v>2438.59649122807</v>
      </c>
      <c r="T26" s="48">
        <f>'Revenue - B-to-C'!U14</f>
        <v>2438.59649122807</v>
      </c>
      <c r="U26" s="48">
        <f>'Revenue - B-to-C'!V14</f>
        <v>2438.59649122807</v>
      </c>
      <c r="V26" s="48">
        <f>'Revenue - B-to-C'!W14</f>
        <v>2438.59649122807</v>
      </c>
      <c r="W26" s="48">
        <f>'Revenue - B-to-C'!X14</f>
        <v>2438.59649122807</v>
      </c>
      <c r="X26" s="48">
        <f>'Revenue - B-to-C'!Y14</f>
        <v>2438.59649122807</v>
      </c>
      <c r="Y26" s="48">
        <f>'Revenue - B-to-C'!Z14</f>
        <v>2438.59649122807</v>
      </c>
      <c r="Z26" s="48">
        <f>'Revenue - B-to-C'!AA14</f>
        <v>2438.59649122807</v>
      </c>
      <c r="AA26" s="48">
        <f>'Revenue - B-to-C'!AB14</f>
        <v>2438.59649122807</v>
      </c>
      <c r="AB26" s="48">
        <f>'Revenue - B-to-C'!AC14</f>
        <v>2438.59649122807</v>
      </c>
      <c r="AC26" s="48">
        <f>'Revenue - B-to-C'!AD14</f>
        <v>2438.59649122807</v>
      </c>
      <c r="AD26" s="48">
        <f>'Revenue - B-to-C'!AE14</f>
        <v>2438.59649122807</v>
      </c>
      <c r="AE26" s="48">
        <f>'Revenue - B-to-C'!AF14</f>
        <v>9144.736842105263</v>
      </c>
      <c r="AF26" s="48">
        <f>'Revenue - B-to-C'!AG14</f>
        <v>9144.736842105263</v>
      </c>
      <c r="AG26" s="48">
        <f>'Revenue - B-to-C'!AH14</f>
        <v>9144.736842105263</v>
      </c>
      <c r="AH26" s="48">
        <f>'Revenue - B-to-C'!AI14</f>
        <v>9144.736842105263</v>
      </c>
      <c r="AI26" s="48">
        <f>'Revenue - B-to-C'!AJ14</f>
        <v>9144.736842105263</v>
      </c>
      <c r="AJ26" s="48">
        <f>'Revenue - B-to-C'!AK14</f>
        <v>9144.736842105263</v>
      </c>
      <c r="AK26" s="48">
        <f>'Revenue - B-to-C'!AL14</f>
        <v>9144.736842105263</v>
      </c>
      <c r="AL26" s="48">
        <f>'Revenue - B-to-C'!AM14</f>
        <v>9144.736842105263</v>
      </c>
      <c r="AM26" s="48">
        <f>'Revenue - B-to-C'!AN14</f>
        <v>9144.736842105263</v>
      </c>
      <c r="AN26" s="48">
        <f>'Revenue - B-to-C'!AO14</f>
        <v>9144.736842105263</v>
      </c>
      <c r="AO26" s="48">
        <f>'Revenue - B-to-C'!AP14</f>
        <v>9144.736842105263</v>
      </c>
      <c r="AP26" s="15">
        <f>'Revenue - B-to-C'!AQ14</f>
        <v>9144.736842105263</v>
      </c>
    </row>
    <row r="27" spans="1:42" ht="12.75">
      <c r="A27" s="316" t="s">
        <v>280</v>
      </c>
      <c r="B27" s="49">
        <f>'Revenue - B-to-C'!C16</f>
        <v>0</v>
      </c>
      <c r="C27" s="49">
        <f>'Revenue - B-to-C'!D16</f>
        <v>177529.82456140348</v>
      </c>
      <c r="D27" s="49">
        <f>'Revenue - B-to-C'!E16</f>
        <v>397978.94736842107</v>
      </c>
      <c r="E27" s="310" t="str">
        <f>'Revenue - B-to-C'!F16</f>
        <v>year 2 launch</v>
      </c>
      <c r="F27" s="285"/>
      <c r="G27" s="48">
        <f>'Revenue - B-to-C'!H16</f>
        <v>0</v>
      </c>
      <c r="H27" s="48">
        <f>'Revenue - B-to-C'!I16</f>
        <v>0</v>
      </c>
      <c r="I27" s="48">
        <f>'Revenue - B-to-C'!J16</f>
        <v>0</v>
      </c>
      <c r="J27" s="48">
        <f>'Revenue - B-to-C'!K16</f>
        <v>0</v>
      </c>
      <c r="K27" s="48">
        <f>'Revenue - B-to-C'!L16</f>
        <v>0</v>
      </c>
      <c r="L27" s="48">
        <f>'Revenue - B-to-C'!M16</f>
        <v>0</v>
      </c>
      <c r="M27" s="48">
        <f>'Revenue - B-to-C'!N16</f>
        <v>0</v>
      </c>
      <c r="N27" s="48">
        <f>'Revenue - B-to-C'!O16</f>
        <v>0</v>
      </c>
      <c r="O27" s="48">
        <f>'Revenue - B-to-C'!P16</f>
        <v>0</v>
      </c>
      <c r="P27" s="48">
        <f>'Revenue - B-to-C'!Q16</f>
        <v>0</v>
      </c>
      <c r="Q27" s="48">
        <f>'Revenue - B-to-C'!R16</f>
        <v>0</v>
      </c>
      <c r="R27" s="48">
        <f>'Revenue - B-to-C'!S16</f>
        <v>0</v>
      </c>
      <c r="S27" s="48">
        <f>'Revenue - B-to-C'!T16</f>
        <v>14794.152046783624</v>
      </c>
      <c r="T27" s="48">
        <f>'Revenue - B-to-C'!U16</f>
        <v>14794.152046783624</v>
      </c>
      <c r="U27" s="48">
        <f>'Revenue - B-to-C'!V16</f>
        <v>14794.152046783624</v>
      </c>
      <c r="V27" s="48">
        <f>'Revenue - B-to-C'!W16</f>
        <v>14794.152046783624</v>
      </c>
      <c r="W27" s="48">
        <f>'Revenue - B-to-C'!X16</f>
        <v>14794.152046783624</v>
      </c>
      <c r="X27" s="48">
        <f>'Revenue - B-to-C'!Y16</f>
        <v>14794.152046783624</v>
      </c>
      <c r="Y27" s="48">
        <f>'Revenue - B-to-C'!Z16</f>
        <v>14794.152046783624</v>
      </c>
      <c r="Z27" s="48">
        <f>'Revenue - B-to-C'!AA16</f>
        <v>14794.152046783624</v>
      </c>
      <c r="AA27" s="48">
        <f>'Revenue - B-to-C'!AB16</f>
        <v>14794.152046783624</v>
      </c>
      <c r="AB27" s="48">
        <f>'Revenue - B-to-C'!AC16</f>
        <v>14794.152046783624</v>
      </c>
      <c r="AC27" s="48">
        <f>'Revenue - B-to-C'!AD16</f>
        <v>14794.152046783624</v>
      </c>
      <c r="AD27" s="48">
        <f>'Revenue - B-to-C'!AE16</f>
        <v>14794.152046783624</v>
      </c>
      <c r="AE27" s="48">
        <f>'Revenue - B-to-C'!AF16</f>
        <v>33164.912280701756</v>
      </c>
      <c r="AF27" s="48">
        <f>'Revenue - B-to-C'!AG16</f>
        <v>33164.912280701756</v>
      </c>
      <c r="AG27" s="48">
        <f>'Revenue - B-to-C'!AH16</f>
        <v>33164.912280701756</v>
      </c>
      <c r="AH27" s="48">
        <f>'Revenue - B-to-C'!AI16</f>
        <v>33164.912280701756</v>
      </c>
      <c r="AI27" s="48">
        <f>'Revenue - B-to-C'!AJ16</f>
        <v>33164.912280701756</v>
      </c>
      <c r="AJ27" s="48">
        <f>'Revenue - B-to-C'!AK16</f>
        <v>33164.912280701756</v>
      </c>
      <c r="AK27" s="48">
        <f>'Revenue - B-to-C'!AL16</f>
        <v>33164.912280701756</v>
      </c>
      <c r="AL27" s="48">
        <f>'Revenue - B-to-C'!AM16</f>
        <v>33164.912280701756</v>
      </c>
      <c r="AM27" s="48">
        <f>'Revenue - B-to-C'!AN16</f>
        <v>33164.912280701756</v>
      </c>
      <c r="AN27" s="48">
        <f>'Revenue - B-to-C'!AO16</f>
        <v>33164.912280701756</v>
      </c>
      <c r="AO27" s="48">
        <f>'Revenue - B-to-C'!AP16</f>
        <v>33164.912280701756</v>
      </c>
      <c r="AP27" s="15">
        <f>'Revenue - B-to-C'!AQ16</f>
        <v>33164.912280701756</v>
      </c>
    </row>
    <row r="28" spans="1:42" ht="12.75">
      <c r="A28" s="316" t="s">
        <v>281</v>
      </c>
      <c r="B28" s="49">
        <f>'Revenue - B-to-C'!C18</f>
        <v>0</v>
      </c>
      <c r="C28" s="49">
        <f>'Revenue - B-to-C'!D18</f>
        <v>33833.333333333336</v>
      </c>
      <c r="D28" s="49">
        <f>'Revenue - B-to-C'!E18</f>
        <v>35525</v>
      </c>
      <c r="E28" s="310" t="str">
        <f>'Revenue - B-to-C'!F18</f>
        <v>year 2 launch</v>
      </c>
      <c r="F28" s="285"/>
      <c r="G28" s="48">
        <f>'Revenue - B-to-C'!H18</f>
        <v>0</v>
      </c>
      <c r="H28" s="48">
        <f>'Revenue - B-to-C'!I18</f>
        <v>0</v>
      </c>
      <c r="I28" s="48">
        <f>'Revenue - B-to-C'!J18</f>
        <v>0</v>
      </c>
      <c r="J28" s="48">
        <f>'Revenue - B-to-C'!K18</f>
        <v>0</v>
      </c>
      <c r="K28" s="48">
        <f>'Revenue - B-to-C'!L18</f>
        <v>0</v>
      </c>
      <c r="L28" s="48">
        <f>'Revenue - B-to-C'!M18</f>
        <v>0</v>
      </c>
      <c r="M28" s="48">
        <f>'Revenue - B-to-C'!N18</f>
        <v>0</v>
      </c>
      <c r="N28" s="48">
        <f>'Revenue - B-to-C'!O18</f>
        <v>0</v>
      </c>
      <c r="O28" s="48">
        <f>'Revenue - B-to-C'!P18</f>
        <v>0</v>
      </c>
      <c r="P28" s="48">
        <f>'Revenue - B-to-C'!Q18</f>
        <v>0</v>
      </c>
      <c r="Q28" s="48">
        <f>'Revenue - B-to-C'!R18</f>
        <v>0</v>
      </c>
      <c r="R28" s="48">
        <f>'Revenue - B-to-C'!S18</f>
        <v>0</v>
      </c>
      <c r="S28" s="48">
        <f>'Revenue - B-to-C'!T18</f>
        <v>2819.444444444445</v>
      </c>
      <c r="T28" s="48">
        <f>'Revenue - B-to-C'!U18</f>
        <v>2819.444444444445</v>
      </c>
      <c r="U28" s="48">
        <f>'Revenue - B-to-C'!V18</f>
        <v>2819.444444444445</v>
      </c>
      <c r="V28" s="48">
        <f>'Revenue - B-to-C'!W18</f>
        <v>2819.444444444445</v>
      </c>
      <c r="W28" s="48">
        <f>'Revenue - B-to-C'!X18</f>
        <v>2819.444444444445</v>
      </c>
      <c r="X28" s="48">
        <f>'Revenue - B-to-C'!Y18</f>
        <v>2819.444444444445</v>
      </c>
      <c r="Y28" s="48">
        <f>'Revenue - B-to-C'!Z18</f>
        <v>2819.444444444445</v>
      </c>
      <c r="Z28" s="48">
        <f>'Revenue - B-to-C'!AA18</f>
        <v>2819.444444444445</v>
      </c>
      <c r="AA28" s="48">
        <f>'Revenue - B-to-C'!AB18</f>
        <v>2819.444444444445</v>
      </c>
      <c r="AB28" s="48">
        <f>'Revenue - B-to-C'!AC18</f>
        <v>2819.444444444445</v>
      </c>
      <c r="AC28" s="48">
        <f>'Revenue - B-to-C'!AD18</f>
        <v>2819.444444444445</v>
      </c>
      <c r="AD28" s="48">
        <f>'Revenue - B-to-C'!AE18</f>
        <v>2819.444444444445</v>
      </c>
      <c r="AE28" s="48">
        <f>'Revenue - B-to-C'!AF18</f>
        <v>2960.4166666666665</v>
      </c>
      <c r="AF28" s="48">
        <f>'Revenue - B-to-C'!AG18</f>
        <v>2960.4166666666665</v>
      </c>
      <c r="AG28" s="48">
        <f>'Revenue - B-to-C'!AH18</f>
        <v>2960.4166666666665</v>
      </c>
      <c r="AH28" s="48">
        <f>'Revenue - B-to-C'!AI18</f>
        <v>2960.4166666666665</v>
      </c>
      <c r="AI28" s="48">
        <f>'Revenue - B-to-C'!AJ18</f>
        <v>2960.4166666666665</v>
      </c>
      <c r="AJ28" s="48">
        <f>'Revenue - B-to-C'!AK18</f>
        <v>2960.4166666666665</v>
      </c>
      <c r="AK28" s="48">
        <f>'Revenue - B-to-C'!AL18</f>
        <v>2960.4166666666665</v>
      </c>
      <c r="AL28" s="48">
        <f>'Revenue - B-to-C'!AM18</f>
        <v>2960.4166666666665</v>
      </c>
      <c r="AM28" s="48">
        <f>'Revenue - B-to-C'!AN18</f>
        <v>2960.4166666666665</v>
      </c>
      <c r="AN28" s="48">
        <f>'Revenue - B-to-C'!AO18</f>
        <v>2960.4166666666665</v>
      </c>
      <c r="AO28" s="48">
        <f>'Revenue - B-to-C'!AP18</f>
        <v>2960.4166666666665</v>
      </c>
      <c r="AP28" s="15">
        <f>'Revenue - B-to-C'!AQ18</f>
        <v>2960.4166666666665</v>
      </c>
    </row>
    <row r="29" spans="1:42" ht="12.75">
      <c r="A29" s="316" t="s">
        <v>282</v>
      </c>
      <c r="B29" s="49">
        <f>'Revenue - B-to-C'!C20</f>
        <v>0</v>
      </c>
      <c r="C29" s="49">
        <f>'Revenue - B-to-C'!D20</f>
        <v>843531</v>
      </c>
      <c r="D29" s="49">
        <f>'Revenue - B-to-C'!E20</f>
        <v>3560479.2375</v>
      </c>
      <c r="E29" s="310" t="str">
        <f>'Revenue - B-to-C'!F20</f>
        <v>year 2 launch</v>
      </c>
      <c r="F29" s="285"/>
      <c r="G29" s="48">
        <f>'Revenue - B-to-C'!H20</f>
        <v>0</v>
      </c>
      <c r="H29" s="48">
        <f>'Revenue - B-to-C'!I20</f>
        <v>0</v>
      </c>
      <c r="I29" s="48">
        <f>'Revenue - B-to-C'!J20</f>
        <v>0</v>
      </c>
      <c r="J29" s="48">
        <f>'Revenue - B-to-C'!K20</f>
        <v>0</v>
      </c>
      <c r="K29" s="48">
        <f>'Revenue - B-to-C'!L20</f>
        <v>0</v>
      </c>
      <c r="L29" s="48">
        <f>'Revenue - B-to-C'!M20</f>
        <v>0</v>
      </c>
      <c r="M29" s="48">
        <f>'Revenue - B-to-C'!N20</f>
        <v>0</v>
      </c>
      <c r="N29" s="48">
        <f>'Revenue - B-to-C'!O20</f>
        <v>0</v>
      </c>
      <c r="O29" s="48">
        <f>'Revenue - B-to-C'!P20</f>
        <v>0</v>
      </c>
      <c r="P29" s="48">
        <f>'Revenue - B-to-C'!Q20</f>
        <v>0</v>
      </c>
      <c r="Q29" s="48">
        <f>'Revenue - B-to-C'!R20</f>
        <v>0</v>
      </c>
      <c r="R29" s="48">
        <f>'Revenue - B-to-C'!S20</f>
        <v>0</v>
      </c>
      <c r="S29" s="48">
        <f>'Revenue - B-to-C'!T20</f>
        <v>70294.25</v>
      </c>
      <c r="T29" s="48">
        <f>'Revenue - B-to-C'!U20</f>
        <v>70294.25</v>
      </c>
      <c r="U29" s="48">
        <f>'Revenue - B-to-C'!V20</f>
        <v>70294.25</v>
      </c>
      <c r="V29" s="48">
        <f>'Revenue - B-to-C'!W20</f>
        <v>70294.25</v>
      </c>
      <c r="W29" s="48">
        <f>'Revenue - B-to-C'!X20</f>
        <v>70294.25</v>
      </c>
      <c r="X29" s="48">
        <f>'Revenue - B-to-C'!Y20</f>
        <v>70294.25</v>
      </c>
      <c r="Y29" s="48">
        <f>'Revenue - B-to-C'!Z20</f>
        <v>70294.25</v>
      </c>
      <c r="Z29" s="48">
        <f>'Revenue - B-to-C'!AA20</f>
        <v>70294.25</v>
      </c>
      <c r="AA29" s="48">
        <f>'Revenue - B-to-C'!AB20</f>
        <v>70294.25</v>
      </c>
      <c r="AB29" s="48">
        <f>'Revenue - B-to-C'!AC20</f>
        <v>70294.25</v>
      </c>
      <c r="AC29" s="48">
        <f>'Revenue - B-to-C'!AD20</f>
        <v>70294.25</v>
      </c>
      <c r="AD29" s="48">
        <f>'Revenue - B-to-C'!AE20</f>
        <v>70294.25</v>
      </c>
      <c r="AE29" s="48">
        <f>'Revenue - B-to-C'!AF20</f>
        <v>296706.60312499997</v>
      </c>
      <c r="AF29" s="48">
        <f>'Revenue - B-to-C'!AG20</f>
        <v>296706.60312499997</v>
      </c>
      <c r="AG29" s="48">
        <f>'Revenue - B-to-C'!AH20</f>
        <v>296706.60312499997</v>
      </c>
      <c r="AH29" s="48">
        <f>'Revenue - B-to-C'!AI20</f>
        <v>296706.60312499997</v>
      </c>
      <c r="AI29" s="48">
        <f>'Revenue - B-to-C'!AJ20</f>
        <v>296706.60312499997</v>
      </c>
      <c r="AJ29" s="48">
        <f>'Revenue - B-to-C'!AK20</f>
        <v>296706.60312499997</v>
      </c>
      <c r="AK29" s="48">
        <f>'Revenue - B-to-C'!AL20</f>
        <v>296706.60312499997</v>
      </c>
      <c r="AL29" s="48">
        <f>'Revenue - B-to-C'!AM20</f>
        <v>296706.60312499997</v>
      </c>
      <c r="AM29" s="48">
        <f>'Revenue - B-to-C'!AN20</f>
        <v>296706.60312499997</v>
      </c>
      <c r="AN29" s="48">
        <f>'Revenue - B-to-C'!AO20</f>
        <v>296706.60312499997</v>
      </c>
      <c r="AO29" s="48">
        <f>'Revenue - B-to-C'!AP20</f>
        <v>296706.60312499997</v>
      </c>
      <c r="AP29" s="15">
        <f>'Revenue - B-to-C'!AQ20</f>
        <v>296706.60312499997</v>
      </c>
    </row>
    <row r="30" spans="1:42" ht="12.75">
      <c r="A30" s="317" t="s">
        <v>283</v>
      </c>
      <c r="B30" s="49">
        <f>'Revenue - B-to-C'!C22</f>
        <v>0</v>
      </c>
      <c r="C30" s="49">
        <f>'Revenue - B-to-C'!D22</f>
        <v>49750</v>
      </c>
      <c r="D30" s="49">
        <f>'Revenue - B-to-C'!E22</f>
        <v>74625</v>
      </c>
      <c r="E30" s="310" t="str">
        <f>'Revenue - B-to-C'!F22</f>
        <v>year 2 launch</v>
      </c>
      <c r="F30" s="285"/>
      <c r="G30" s="48">
        <f>'Revenue - B-to-C'!H22</f>
        <v>0</v>
      </c>
      <c r="H30" s="48">
        <f>'Revenue - B-to-C'!I22</f>
        <v>0</v>
      </c>
      <c r="I30" s="48">
        <f>'Revenue - B-to-C'!J22</f>
        <v>0</v>
      </c>
      <c r="J30" s="48">
        <f>'Revenue - B-to-C'!K22</f>
        <v>0</v>
      </c>
      <c r="K30" s="48">
        <f>'Revenue - B-to-C'!L22</f>
        <v>0</v>
      </c>
      <c r="L30" s="48">
        <f>'Revenue - B-to-C'!M22</f>
        <v>0</v>
      </c>
      <c r="M30" s="48">
        <f>'Revenue - B-to-C'!N22</f>
        <v>0</v>
      </c>
      <c r="N30" s="48">
        <f>'Revenue - B-to-C'!O22</f>
        <v>0</v>
      </c>
      <c r="O30" s="48">
        <f>'Revenue - B-to-C'!P22</f>
        <v>0</v>
      </c>
      <c r="P30" s="48">
        <f>'Revenue - B-to-C'!Q22</f>
        <v>0</v>
      </c>
      <c r="Q30" s="48">
        <f>'Revenue - B-to-C'!R22</f>
        <v>0</v>
      </c>
      <c r="R30" s="48">
        <f>'Revenue - B-to-C'!S22</f>
        <v>0</v>
      </c>
      <c r="S30" s="48">
        <f>'Revenue - B-to-C'!T22</f>
        <v>4145.833333333333</v>
      </c>
      <c r="T30" s="48">
        <f>'Revenue - B-to-C'!U22</f>
        <v>4145.833333333333</v>
      </c>
      <c r="U30" s="48">
        <f>'Revenue - B-to-C'!V22</f>
        <v>4145.833333333333</v>
      </c>
      <c r="V30" s="48">
        <f>'Revenue - B-to-C'!W22</f>
        <v>4145.833333333333</v>
      </c>
      <c r="W30" s="48">
        <f>'Revenue - B-to-C'!X22</f>
        <v>4145.833333333333</v>
      </c>
      <c r="X30" s="48">
        <f>'Revenue - B-to-C'!Y22</f>
        <v>4145.833333333333</v>
      </c>
      <c r="Y30" s="48">
        <f>'Revenue - B-to-C'!Z22</f>
        <v>4145.833333333333</v>
      </c>
      <c r="Z30" s="48">
        <f>'Revenue - B-to-C'!AA22</f>
        <v>4145.833333333333</v>
      </c>
      <c r="AA30" s="48">
        <f>'Revenue - B-to-C'!AB22</f>
        <v>4145.833333333333</v>
      </c>
      <c r="AB30" s="48">
        <f>'Revenue - B-to-C'!AC22</f>
        <v>4145.833333333333</v>
      </c>
      <c r="AC30" s="48">
        <f>'Revenue - B-to-C'!AD22</f>
        <v>4145.833333333333</v>
      </c>
      <c r="AD30" s="48">
        <f>'Revenue - B-to-C'!AE22</f>
        <v>4145.833333333333</v>
      </c>
      <c r="AE30" s="48">
        <f>'Revenue - B-to-C'!AF22</f>
        <v>6218.75</v>
      </c>
      <c r="AF30" s="48">
        <f>'Revenue - B-to-C'!AG22</f>
        <v>6218.75</v>
      </c>
      <c r="AG30" s="48">
        <f>'Revenue - B-to-C'!AH22</f>
        <v>6218.75</v>
      </c>
      <c r="AH30" s="48">
        <f>'Revenue - B-to-C'!AI22</f>
        <v>6218.75</v>
      </c>
      <c r="AI30" s="48">
        <f>'Revenue - B-to-C'!AJ22</f>
        <v>6218.75</v>
      </c>
      <c r="AJ30" s="48">
        <f>'Revenue - B-to-C'!AK22</f>
        <v>6218.75</v>
      </c>
      <c r="AK30" s="48">
        <f>'Revenue - B-to-C'!AL22</f>
        <v>6218.75</v>
      </c>
      <c r="AL30" s="48">
        <f>'Revenue - B-to-C'!AM22</f>
        <v>6218.75</v>
      </c>
      <c r="AM30" s="48">
        <f>'Revenue - B-to-C'!AN22</f>
        <v>6218.75</v>
      </c>
      <c r="AN30" s="48">
        <f>'Revenue - B-to-C'!AO22</f>
        <v>6218.75</v>
      </c>
      <c r="AO30" s="48">
        <f>'Revenue - B-to-C'!AP22</f>
        <v>6218.75</v>
      </c>
      <c r="AP30" s="15">
        <f>'Revenue - B-to-C'!AQ22</f>
        <v>6218.75</v>
      </c>
    </row>
    <row r="31" spans="1:42" ht="13.5" thickBot="1">
      <c r="A31" s="316" t="s">
        <v>284</v>
      </c>
      <c r="B31" s="49">
        <f>'Revenue - B-to-C'!C24</f>
        <v>0</v>
      </c>
      <c r="C31" s="49">
        <f>'Revenue - B-to-C'!D24</f>
        <v>0</v>
      </c>
      <c r="D31" s="49">
        <f>'Revenue - B-to-C'!E24</f>
        <v>0</v>
      </c>
      <c r="E31" s="311" t="str">
        <f>'Revenue - B-to-C'!F24</f>
        <v>High cost of data collection</v>
      </c>
      <c r="F31" s="288"/>
      <c r="G31" s="290">
        <f>'Revenue - B-to-C'!H24</f>
        <v>0</v>
      </c>
      <c r="H31" s="290">
        <f>'Revenue - B-to-C'!I24</f>
        <v>0</v>
      </c>
      <c r="I31" s="290">
        <f>'Revenue - B-to-C'!J24</f>
        <v>0</v>
      </c>
      <c r="J31" s="290">
        <f>'Revenue - B-to-C'!K24</f>
        <v>0</v>
      </c>
      <c r="K31" s="290">
        <f>'Revenue - B-to-C'!L24</f>
        <v>0</v>
      </c>
      <c r="L31" s="290">
        <f>'Revenue - B-to-C'!M24</f>
        <v>0</v>
      </c>
      <c r="M31" s="290">
        <f>'Revenue - B-to-C'!N24</f>
        <v>0</v>
      </c>
      <c r="N31" s="290">
        <f>'Revenue - B-to-C'!O24</f>
        <v>0</v>
      </c>
      <c r="O31" s="290">
        <f>'Revenue - B-to-C'!P24</f>
        <v>0</v>
      </c>
      <c r="P31" s="290">
        <f>'Revenue - B-to-C'!Q24</f>
        <v>0</v>
      </c>
      <c r="Q31" s="290">
        <f>'Revenue - B-to-C'!R24</f>
        <v>0</v>
      </c>
      <c r="R31" s="290">
        <f>'Revenue - B-to-C'!S24</f>
        <v>0</v>
      </c>
      <c r="S31" s="290">
        <f>'Revenue - B-to-C'!T24</f>
        <v>0</v>
      </c>
      <c r="T31" s="290">
        <f>'Revenue - B-to-C'!U24</f>
        <v>0</v>
      </c>
      <c r="U31" s="290">
        <f>'Revenue - B-to-C'!V24</f>
        <v>0</v>
      </c>
      <c r="V31" s="290">
        <f>'Revenue - B-to-C'!W24</f>
        <v>0</v>
      </c>
      <c r="W31" s="290">
        <f>'Revenue - B-to-C'!X24</f>
        <v>0</v>
      </c>
      <c r="X31" s="290">
        <f>'Revenue - B-to-C'!Y24</f>
        <v>0</v>
      </c>
      <c r="Y31" s="290">
        <f>'Revenue - B-to-C'!Z24</f>
        <v>0</v>
      </c>
      <c r="Z31" s="290">
        <f>'Revenue - B-to-C'!AA24</f>
        <v>0</v>
      </c>
      <c r="AA31" s="290">
        <f>'Revenue - B-to-C'!AB24</f>
        <v>0</v>
      </c>
      <c r="AB31" s="290">
        <f>'Revenue - B-to-C'!AC24</f>
        <v>0</v>
      </c>
      <c r="AC31" s="290">
        <f>'Revenue - B-to-C'!AD24</f>
        <v>0</v>
      </c>
      <c r="AD31" s="290">
        <f>'Revenue - B-to-C'!AE24</f>
        <v>0</v>
      </c>
      <c r="AE31" s="290">
        <f>'Revenue - B-to-C'!AF24</f>
        <v>0</v>
      </c>
      <c r="AF31" s="290">
        <f>'Revenue - B-to-C'!AG24</f>
        <v>0</v>
      </c>
      <c r="AG31" s="290">
        <f>'Revenue - B-to-C'!AH24</f>
        <v>0</v>
      </c>
      <c r="AH31" s="290">
        <f>'Revenue - B-to-C'!AI24</f>
        <v>0</v>
      </c>
      <c r="AI31" s="290">
        <f>'Revenue - B-to-C'!AJ24</f>
        <v>0</v>
      </c>
      <c r="AJ31" s="290">
        <f>'Revenue - B-to-C'!AK24</f>
        <v>0</v>
      </c>
      <c r="AK31" s="290">
        <f>'Revenue - B-to-C'!AL24</f>
        <v>0</v>
      </c>
      <c r="AL31" s="290">
        <f>'Revenue - B-to-C'!AM24</f>
        <v>0</v>
      </c>
      <c r="AM31" s="290">
        <f>'Revenue - B-to-C'!AN24</f>
        <v>0</v>
      </c>
      <c r="AN31" s="290">
        <f>'Revenue - B-to-C'!AO24</f>
        <v>0</v>
      </c>
      <c r="AO31" s="290">
        <f>'Revenue - B-to-C'!AP24</f>
        <v>0</v>
      </c>
      <c r="AP31" s="291">
        <f>'Revenue - B-to-C'!AQ24</f>
        <v>0</v>
      </c>
    </row>
    <row r="32" spans="1:42" ht="13.5" thickTop="1">
      <c r="A32" s="302" t="s">
        <v>285</v>
      </c>
      <c r="B32" s="49">
        <f>SUM(B21:B31)</f>
        <v>706268.7719298245</v>
      </c>
      <c r="C32" s="49">
        <f>SUM(C21:C31)</f>
        <v>1979015.6666666667</v>
      </c>
      <c r="D32" s="49">
        <f>SUM(D21:D31)</f>
        <v>5131611.132236842</v>
      </c>
      <c r="E32" s="310"/>
      <c r="F32" s="285"/>
      <c r="G32" s="48">
        <f>SUM(G21:G31)</f>
        <v>58855.73099415204</v>
      </c>
      <c r="H32" s="48">
        <f aca="true" t="shared" si="0" ref="H32:AP32">SUM(H21:H31)</f>
        <v>58855.73099415204</v>
      </c>
      <c r="I32" s="48">
        <f t="shared" si="0"/>
        <v>58855.73099415204</v>
      </c>
      <c r="J32" s="48">
        <f t="shared" si="0"/>
        <v>58855.73099415204</v>
      </c>
      <c r="K32" s="48">
        <f t="shared" si="0"/>
        <v>58855.73099415204</v>
      </c>
      <c r="L32" s="48">
        <f t="shared" si="0"/>
        <v>58855.73099415204</v>
      </c>
      <c r="M32" s="48">
        <f t="shared" si="0"/>
        <v>58855.73099415204</v>
      </c>
      <c r="N32" s="48">
        <f t="shared" si="0"/>
        <v>58855.73099415204</v>
      </c>
      <c r="O32" s="48">
        <f t="shared" si="0"/>
        <v>58855.73099415204</v>
      </c>
      <c r="P32" s="48">
        <f t="shared" si="0"/>
        <v>58855.73099415204</v>
      </c>
      <c r="Q32" s="48">
        <f t="shared" si="0"/>
        <v>58855.73099415204</v>
      </c>
      <c r="R32" s="48">
        <f t="shared" si="0"/>
        <v>60684.6783625731</v>
      </c>
      <c r="S32" s="48">
        <f t="shared" si="0"/>
        <v>164917.97222222222</v>
      </c>
      <c r="T32" s="48">
        <f t="shared" si="0"/>
        <v>164917.97222222222</v>
      </c>
      <c r="U32" s="48">
        <f t="shared" si="0"/>
        <v>164917.97222222222</v>
      </c>
      <c r="V32" s="48">
        <f t="shared" si="0"/>
        <v>164917.97222222222</v>
      </c>
      <c r="W32" s="48">
        <f t="shared" si="0"/>
        <v>164917.97222222222</v>
      </c>
      <c r="X32" s="48">
        <f t="shared" si="0"/>
        <v>164917.97222222222</v>
      </c>
      <c r="Y32" s="48">
        <f t="shared" si="0"/>
        <v>164917.97222222222</v>
      </c>
      <c r="Z32" s="48">
        <f t="shared" si="0"/>
        <v>164917.97222222222</v>
      </c>
      <c r="AA32" s="48">
        <f t="shared" si="0"/>
        <v>164917.97222222222</v>
      </c>
      <c r="AB32" s="48">
        <f t="shared" si="0"/>
        <v>164917.97222222222</v>
      </c>
      <c r="AC32" s="48">
        <f t="shared" si="0"/>
        <v>164917.97222222222</v>
      </c>
      <c r="AD32" s="48">
        <f t="shared" si="0"/>
        <v>164917.97222222222</v>
      </c>
      <c r="AE32" s="48">
        <f t="shared" si="0"/>
        <v>427634.2610197368</v>
      </c>
      <c r="AF32" s="48">
        <f t="shared" si="0"/>
        <v>427634.2610197368</v>
      </c>
      <c r="AG32" s="48">
        <f t="shared" si="0"/>
        <v>427634.2610197368</v>
      </c>
      <c r="AH32" s="48">
        <f t="shared" si="0"/>
        <v>427634.2610197368</v>
      </c>
      <c r="AI32" s="48">
        <f t="shared" si="0"/>
        <v>427634.2610197368</v>
      </c>
      <c r="AJ32" s="48">
        <f t="shared" si="0"/>
        <v>427634.2610197368</v>
      </c>
      <c r="AK32" s="48">
        <f t="shared" si="0"/>
        <v>427634.2610197368</v>
      </c>
      <c r="AL32" s="48">
        <f t="shared" si="0"/>
        <v>427634.2610197368</v>
      </c>
      <c r="AM32" s="48">
        <f t="shared" si="0"/>
        <v>427634.2610197368</v>
      </c>
      <c r="AN32" s="48">
        <f t="shared" si="0"/>
        <v>427634.2610197368</v>
      </c>
      <c r="AO32" s="48">
        <f t="shared" si="0"/>
        <v>427634.2610197368</v>
      </c>
      <c r="AP32" s="15">
        <f t="shared" si="0"/>
        <v>427634.2610197368</v>
      </c>
    </row>
    <row r="33" spans="1:42" ht="12.75">
      <c r="A33" s="46"/>
      <c r="B33" s="47"/>
      <c r="C33" s="47"/>
      <c r="D33" s="47"/>
      <c r="E33" s="310"/>
      <c r="F33" s="285"/>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15"/>
    </row>
    <row r="34" spans="1:42" ht="12.75">
      <c r="A34" s="302" t="s">
        <v>286</v>
      </c>
      <c r="B34" s="47"/>
      <c r="C34" s="47"/>
      <c r="D34" s="47"/>
      <c r="E34" s="310"/>
      <c r="F34" s="285"/>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15"/>
    </row>
    <row r="35" spans="1:42" ht="12.75">
      <c r="A35" s="316" t="s">
        <v>287</v>
      </c>
      <c r="B35" s="49">
        <f>'Revenue - B-to-B'!C4</f>
        <v>928400</v>
      </c>
      <c r="C35" s="49">
        <f>'Revenue - B-to-B'!D4</f>
        <v>1108400</v>
      </c>
      <c r="D35" s="49">
        <f>'Revenue - B-to-B'!E4</f>
        <v>1198400</v>
      </c>
      <c r="E35" s="310" t="str">
        <f>'Revenue - B-to-B'!F4</f>
        <v>year 1 launch</v>
      </c>
      <c r="F35" s="285"/>
      <c r="G35" s="48">
        <f>'Revenue - B-to-B'!H4</f>
        <v>77366.66666666667</v>
      </c>
      <c r="H35" s="48">
        <f>'Revenue - B-to-B'!I4</f>
        <v>77366.66666666667</v>
      </c>
      <c r="I35" s="48">
        <f>'Revenue - B-to-B'!J4</f>
        <v>77366.66666666667</v>
      </c>
      <c r="J35" s="48">
        <f>'Revenue - B-to-B'!K4</f>
        <v>77366.66666666667</v>
      </c>
      <c r="K35" s="48">
        <f>'Revenue - B-to-B'!L4</f>
        <v>77366.66666666667</v>
      </c>
      <c r="L35" s="48">
        <f>'Revenue - B-to-B'!M4</f>
        <v>77366.66666666667</v>
      </c>
      <c r="M35" s="48">
        <f>'Revenue - B-to-B'!N4</f>
        <v>77366.66666666667</v>
      </c>
      <c r="N35" s="48">
        <f>'Revenue - B-to-B'!O4</f>
        <v>77366.66666666667</v>
      </c>
      <c r="O35" s="48">
        <f>'Revenue - B-to-B'!P4</f>
        <v>77366.66666666667</v>
      </c>
      <c r="P35" s="48">
        <f>'Revenue - B-to-B'!Q4</f>
        <v>77366.66666666667</v>
      </c>
      <c r="Q35" s="48">
        <f>'Revenue - B-to-B'!R4</f>
        <v>77366.66666666667</v>
      </c>
      <c r="R35" s="48">
        <f>'Revenue - B-to-B'!S4</f>
        <v>77366.66666666667</v>
      </c>
      <c r="S35" s="48">
        <f>'Revenue - B-to-B'!T4</f>
        <v>92366.66666666667</v>
      </c>
      <c r="T35" s="48">
        <f>'Revenue - B-to-B'!U4</f>
        <v>92366.66666666667</v>
      </c>
      <c r="U35" s="48">
        <f>'Revenue - B-to-B'!V4</f>
        <v>92366.66666666667</v>
      </c>
      <c r="V35" s="48">
        <f>'Revenue - B-to-B'!W4</f>
        <v>92366.66666666667</v>
      </c>
      <c r="W35" s="48">
        <f>'Revenue - B-to-B'!X4</f>
        <v>92366.66666666667</v>
      </c>
      <c r="X35" s="48">
        <f>'Revenue - B-to-B'!Y4</f>
        <v>92366.66666666667</v>
      </c>
      <c r="Y35" s="48">
        <f>'Revenue - B-to-B'!Z4</f>
        <v>92366.66666666667</v>
      </c>
      <c r="Z35" s="48">
        <f>'Revenue - B-to-B'!AA4</f>
        <v>92366.66666666667</v>
      </c>
      <c r="AA35" s="48">
        <f>'Revenue - B-to-B'!AB4</f>
        <v>92366.66666666667</v>
      </c>
      <c r="AB35" s="48">
        <f>'Revenue - B-to-B'!AC4</f>
        <v>92366.66666666667</v>
      </c>
      <c r="AC35" s="48">
        <f>'Revenue - B-to-B'!AD4</f>
        <v>92366.66666666667</v>
      </c>
      <c r="AD35" s="48">
        <f>'Revenue - B-to-B'!AE4</f>
        <v>92366.66666666667</v>
      </c>
      <c r="AE35" s="48">
        <f>'Revenue - B-to-B'!AF4</f>
        <v>99866.66666666667</v>
      </c>
      <c r="AF35" s="48">
        <f>'Revenue - B-to-B'!AG4</f>
        <v>99866.66666666667</v>
      </c>
      <c r="AG35" s="48">
        <f>'Revenue - B-to-B'!AH4</f>
        <v>99866.66666666667</v>
      </c>
      <c r="AH35" s="48">
        <f>'Revenue - B-to-B'!AI4</f>
        <v>99866.66666666667</v>
      </c>
      <c r="AI35" s="48">
        <f>'Revenue - B-to-B'!AJ4</f>
        <v>99866.66666666667</v>
      </c>
      <c r="AJ35" s="48">
        <f>'Revenue - B-to-B'!AK4</f>
        <v>99866.66666666667</v>
      </c>
      <c r="AK35" s="48">
        <f>'Revenue - B-to-B'!AL4</f>
        <v>99866.66666666667</v>
      </c>
      <c r="AL35" s="48">
        <f>'Revenue - B-to-B'!AM4</f>
        <v>99866.66666666667</v>
      </c>
      <c r="AM35" s="48">
        <f>'Revenue - B-to-B'!AN4</f>
        <v>99866.66666666667</v>
      </c>
      <c r="AN35" s="48">
        <f>'Revenue - B-to-B'!AO4</f>
        <v>99866.66666666667</v>
      </c>
      <c r="AO35" s="48">
        <f>'Revenue - B-to-B'!AP4</f>
        <v>99866.66666666667</v>
      </c>
      <c r="AP35" s="15">
        <f>'Revenue - B-to-B'!AQ4</f>
        <v>99866.66666666667</v>
      </c>
    </row>
    <row r="36" spans="1:42" ht="12.75">
      <c r="A36" s="316" t="s">
        <v>430</v>
      </c>
      <c r="B36" s="49">
        <f>'Revenue - B-to-B'!C6</f>
        <v>742500</v>
      </c>
      <c r="C36" s="49">
        <f>'Revenue - B-to-B'!D6</f>
        <v>990000</v>
      </c>
      <c r="D36" s="49">
        <f>'Revenue - B-to-B'!E6</f>
        <v>1237500</v>
      </c>
      <c r="E36" s="310" t="str">
        <f>'Revenue - B-to-B'!F6</f>
        <v>year 1 launch</v>
      </c>
      <c r="F36" s="285"/>
      <c r="G36" s="48">
        <f>'Revenue - B-to-B'!H6</f>
        <v>61875</v>
      </c>
      <c r="H36" s="48">
        <f>'Revenue - B-to-B'!I6</f>
        <v>61875</v>
      </c>
      <c r="I36" s="48">
        <f>'Revenue - B-to-B'!J6</f>
        <v>61875</v>
      </c>
      <c r="J36" s="48">
        <f>'Revenue - B-to-B'!K6</f>
        <v>61875</v>
      </c>
      <c r="K36" s="48">
        <f>'Revenue - B-to-B'!L6</f>
        <v>61875</v>
      </c>
      <c r="L36" s="48">
        <f>'Revenue - B-to-B'!M6</f>
        <v>61875</v>
      </c>
      <c r="M36" s="48">
        <f>'Revenue - B-to-B'!N6</f>
        <v>61875</v>
      </c>
      <c r="N36" s="48">
        <f>'Revenue - B-to-B'!O6</f>
        <v>61875</v>
      </c>
      <c r="O36" s="48">
        <f>'Revenue - B-to-B'!P6</f>
        <v>61875</v>
      </c>
      <c r="P36" s="48">
        <f>'Revenue - B-to-B'!Q6</f>
        <v>61875</v>
      </c>
      <c r="Q36" s="48">
        <f>'Revenue - B-to-B'!R6</f>
        <v>61875</v>
      </c>
      <c r="R36" s="48">
        <f>'Revenue - B-to-B'!S6</f>
        <v>61875</v>
      </c>
      <c r="S36" s="48">
        <f>'Revenue - B-to-B'!T6</f>
        <v>82500</v>
      </c>
      <c r="T36" s="48">
        <f>'Revenue - B-to-B'!U6</f>
        <v>82500</v>
      </c>
      <c r="U36" s="48">
        <f>'Revenue - B-to-B'!V6</f>
        <v>82500</v>
      </c>
      <c r="V36" s="48">
        <f>'Revenue - B-to-B'!W6</f>
        <v>82500</v>
      </c>
      <c r="W36" s="48">
        <f>'Revenue - B-to-B'!X6</f>
        <v>82500</v>
      </c>
      <c r="X36" s="48">
        <f>'Revenue - B-to-B'!Y6</f>
        <v>82500</v>
      </c>
      <c r="Y36" s="48">
        <f>'Revenue - B-to-B'!Z6</f>
        <v>82500</v>
      </c>
      <c r="Z36" s="48">
        <f>'Revenue - B-to-B'!AA6</f>
        <v>82500</v>
      </c>
      <c r="AA36" s="48">
        <f>'Revenue - B-to-B'!AB6</f>
        <v>82500</v>
      </c>
      <c r="AB36" s="48">
        <f>'Revenue - B-to-B'!AC6</f>
        <v>82500</v>
      </c>
      <c r="AC36" s="48">
        <f>'Revenue - B-to-B'!AD6</f>
        <v>82500</v>
      </c>
      <c r="AD36" s="48">
        <f>'Revenue - B-to-B'!AE6</f>
        <v>82500</v>
      </c>
      <c r="AE36" s="48">
        <f>'Revenue - B-to-B'!AF6</f>
        <v>103125</v>
      </c>
      <c r="AF36" s="48">
        <f>'Revenue - B-to-B'!AG6</f>
        <v>103125</v>
      </c>
      <c r="AG36" s="48">
        <f>'Revenue - B-to-B'!AH6</f>
        <v>103125</v>
      </c>
      <c r="AH36" s="48">
        <f>'Revenue - B-to-B'!AI6</f>
        <v>103125</v>
      </c>
      <c r="AI36" s="48">
        <f>'Revenue - B-to-B'!AJ6</f>
        <v>103125</v>
      </c>
      <c r="AJ36" s="48">
        <f>'Revenue - B-to-B'!AK6</f>
        <v>103125</v>
      </c>
      <c r="AK36" s="48">
        <f>'Revenue - B-to-B'!AL6</f>
        <v>103125</v>
      </c>
      <c r="AL36" s="48">
        <f>'Revenue - B-to-B'!AM6</f>
        <v>103125</v>
      </c>
      <c r="AM36" s="48">
        <f>'Revenue - B-to-B'!AN6</f>
        <v>103125</v>
      </c>
      <c r="AN36" s="48">
        <f>'Revenue - B-to-B'!AO6</f>
        <v>103125</v>
      </c>
      <c r="AO36" s="48">
        <f>'Revenue - B-to-B'!AP6</f>
        <v>103125</v>
      </c>
      <c r="AP36" s="15">
        <f>'Revenue - B-to-B'!AQ6</f>
        <v>103125</v>
      </c>
    </row>
    <row r="37" spans="1:42" ht="12.75">
      <c r="A37" s="316" t="s">
        <v>288</v>
      </c>
      <c r="B37" s="49">
        <f>'Revenue - B-to-B'!C8</f>
        <v>325144.56140350876</v>
      </c>
      <c r="C37" s="49">
        <f>'Revenue - B-to-B'!D8</f>
        <v>358309.4736842105</v>
      </c>
      <c r="D37" s="49">
        <f>'Revenue - B-to-B'!E8</f>
        <v>410202.8070175438</v>
      </c>
      <c r="E37" s="310" t="str">
        <f>'Revenue - B-to-B'!F8</f>
        <v>year 1 launch</v>
      </c>
      <c r="F37" s="285"/>
      <c r="G37" s="48">
        <f>'Revenue - B-to-B'!H8</f>
        <v>27095.380116959062</v>
      </c>
      <c r="H37" s="48">
        <f>'Revenue - B-to-B'!I8</f>
        <v>27095.380116959062</v>
      </c>
      <c r="I37" s="48">
        <f>'Revenue - B-to-B'!J8</f>
        <v>27095.380116959062</v>
      </c>
      <c r="J37" s="48">
        <f>'Revenue - B-to-B'!K8</f>
        <v>27095.380116959062</v>
      </c>
      <c r="K37" s="48">
        <f>'Revenue - B-to-B'!L8</f>
        <v>27095.380116959062</v>
      </c>
      <c r="L37" s="48">
        <f>'Revenue - B-to-B'!M8</f>
        <v>27095.380116959062</v>
      </c>
      <c r="M37" s="48">
        <f>'Revenue - B-to-B'!N8</f>
        <v>27095.380116959062</v>
      </c>
      <c r="N37" s="48">
        <f>'Revenue - B-to-B'!O8</f>
        <v>27095.380116959062</v>
      </c>
      <c r="O37" s="48">
        <f>'Revenue - B-to-B'!P8</f>
        <v>27095.380116959062</v>
      </c>
      <c r="P37" s="48">
        <f>'Revenue - B-to-B'!Q8</f>
        <v>27095.380116959062</v>
      </c>
      <c r="Q37" s="48">
        <f>'Revenue - B-to-B'!R8</f>
        <v>27095.380116959062</v>
      </c>
      <c r="R37" s="48">
        <f>'Revenue - B-to-B'!S8</f>
        <v>27095.380116959062</v>
      </c>
      <c r="S37" s="48">
        <f>'Revenue - B-to-B'!T8</f>
        <v>29859.122807017542</v>
      </c>
      <c r="T37" s="48">
        <f>'Revenue - B-to-B'!U8</f>
        <v>29859.122807017542</v>
      </c>
      <c r="U37" s="48">
        <f>'Revenue - B-to-B'!V8</f>
        <v>29859.122807017542</v>
      </c>
      <c r="V37" s="48">
        <f>'Revenue - B-to-B'!W8</f>
        <v>29859.122807017542</v>
      </c>
      <c r="W37" s="48">
        <f>'Revenue - B-to-B'!X8</f>
        <v>29859.122807017542</v>
      </c>
      <c r="X37" s="48">
        <f>'Revenue - B-to-B'!Y8</f>
        <v>29859.122807017542</v>
      </c>
      <c r="Y37" s="48">
        <f>'Revenue - B-to-B'!Z8</f>
        <v>29859.122807017542</v>
      </c>
      <c r="Z37" s="48">
        <f>'Revenue - B-to-B'!AA8</f>
        <v>29859.122807017542</v>
      </c>
      <c r="AA37" s="48">
        <f>'Revenue - B-to-B'!AB8</f>
        <v>29859.122807017542</v>
      </c>
      <c r="AB37" s="48">
        <f>'Revenue - B-to-B'!AC8</f>
        <v>29859.122807017542</v>
      </c>
      <c r="AC37" s="48">
        <f>'Revenue - B-to-B'!AD8</f>
        <v>29859.122807017542</v>
      </c>
      <c r="AD37" s="48">
        <f>'Revenue - B-to-B'!AE8</f>
        <v>29859.122807017542</v>
      </c>
      <c r="AE37" s="48">
        <f>'Revenue - B-to-B'!AF8</f>
        <v>34183.56725146199</v>
      </c>
      <c r="AF37" s="48">
        <f>'Revenue - B-to-B'!AG8</f>
        <v>34183.56725146199</v>
      </c>
      <c r="AG37" s="48">
        <f>'Revenue - B-to-B'!AH8</f>
        <v>34183.56725146199</v>
      </c>
      <c r="AH37" s="48">
        <f>'Revenue - B-to-B'!AI8</f>
        <v>34183.56725146199</v>
      </c>
      <c r="AI37" s="48">
        <f>'Revenue - B-to-B'!AJ8</f>
        <v>34183.56725146199</v>
      </c>
      <c r="AJ37" s="48">
        <f>'Revenue - B-to-B'!AK8</f>
        <v>34183.56725146199</v>
      </c>
      <c r="AK37" s="48">
        <f>'Revenue - B-to-B'!AL8</f>
        <v>34183.56725146199</v>
      </c>
      <c r="AL37" s="48">
        <f>'Revenue - B-to-B'!AM8</f>
        <v>34183.56725146199</v>
      </c>
      <c r="AM37" s="48">
        <f>'Revenue - B-to-B'!AN8</f>
        <v>34183.56725146199</v>
      </c>
      <c r="AN37" s="48">
        <f>'Revenue - B-to-B'!AO8</f>
        <v>34183.56725146199</v>
      </c>
      <c r="AO37" s="48">
        <f>'Revenue - B-to-B'!AP8</f>
        <v>34183.56725146199</v>
      </c>
      <c r="AP37" s="15">
        <f>'Revenue - B-to-B'!AQ8</f>
        <v>34183.56725146199</v>
      </c>
    </row>
    <row r="38" spans="1:42" ht="12.75">
      <c r="A38" s="316" t="s">
        <v>175</v>
      </c>
      <c r="B38" s="49">
        <f>'Revenue - B-to-B'!C10</f>
        <v>0</v>
      </c>
      <c r="C38" s="49">
        <f>'Revenue - B-to-B'!D10</f>
        <v>0</v>
      </c>
      <c r="D38" s="49">
        <f>'Revenue - B-to-B'!E10</f>
        <v>0</v>
      </c>
      <c r="E38" s="310" t="str">
        <f>'Revenue - B-to-B'!F10</f>
        <v>Don't do due to strong competition</v>
      </c>
      <c r="F38" s="285"/>
      <c r="G38" s="48">
        <f>'Revenue - B-to-B'!H10</f>
        <v>0</v>
      </c>
      <c r="H38" s="48">
        <f>'Revenue - B-to-B'!I10</f>
        <v>0</v>
      </c>
      <c r="I38" s="48">
        <f>'Revenue - B-to-B'!J10</f>
        <v>0</v>
      </c>
      <c r="J38" s="48">
        <f>'Revenue - B-to-B'!K10</f>
        <v>0</v>
      </c>
      <c r="K38" s="48">
        <f>'Revenue - B-to-B'!L10</f>
        <v>0</v>
      </c>
      <c r="L38" s="48">
        <f>'Revenue - B-to-B'!M10</f>
        <v>0</v>
      </c>
      <c r="M38" s="48">
        <f>'Revenue - B-to-B'!N10</f>
        <v>0</v>
      </c>
      <c r="N38" s="48">
        <f>'Revenue - B-to-B'!O10</f>
        <v>0</v>
      </c>
      <c r="O38" s="48">
        <f>'Revenue - B-to-B'!P10</f>
        <v>0</v>
      </c>
      <c r="P38" s="48">
        <f>'Revenue - B-to-B'!Q10</f>
        <v>0</v>
      </c>
      <c r="Q38" s="48">
        <f>'Revenue - B-to-B'!R10</f>
        <v>0</v>
      </c>
      <c r="R38" s="48">
        <f>'Revenue - B-to-B'!S10</f>
        <v>0</v>
      </c>
      <c r="S38" s="48">
        <f>'Revenue - B-to-B'!T10</f>
        <v>0</v>
      </c>
      <c r="T38" s="48">
        <f>'Revenue - B-to-B'!U10</f>
        <v>0</v>
      </c>
      <c r="U38" s="48">
        <f>'Revenue - B-to-B'!V10</f>
        <v>0</v>
      </c>
      <c r="V38" s="48">
        <f>'Revenue - B-to-B'!W10</f>
        <v>0</v>
      </c>
      <c r="W38" s="48">
        <f>'Revenue - B-to-B'!X10</f>
        <v>0</v>
      </c>
      <c r="X38" s="48">
        <f>'Revenue - B-to-B'!Y10</f>
        <v>0</v>
      </c>
      <c r="Y38" s="48">
        <f>'Revenue - B-to-B'!Z10</f>
        <v>0</v>
      </c>
      <c r="Z38" s="48">
        <f>'Revenue - B-to-B'!AA10</f>
        <v>0</v>
      </c>
      <c r="AA38" s="48">
        <f>'Revenue - B-to-B'!AB10</f>
        <v>0</v>
      </c>
      <c r="AB38" s="48">
        <f>'Revenue - B-to-B'!AC10</f>
        <v>0</v>
      </c>
      <c r="AC38" s="48">
        <f>'Revenue - B-to-B'!AD10</f>
        <v>0</v>
      </c>
      <c r="AD38" s="48">
        <f>'Revenue - B-to-B'!AE10</f>
        <v>0</v>
      </c>
      <c r="AE38" s="48">
        <f>'Revenue - B-to-B'!AF10</f>
        <v>0</v>
      </c>
      <c r="AF38" s="48">
        <f>'Revenue - B-to-B'!AG10</f>
        <v>0</v>
      </c>
      <c r="AG38" s="48">
        <f>'Revenue - B-to-B'!AH10</f>
        <v>0</v>
      </c>
      <c r="AH38" s="48">
        <f>'Revenue - B-to-B'!AI10</f>
        <v>0</v>
      </c>
      <c r="AI38" s="48">
        <f>'Revenue - B-to-B'!AJ10</f>
        <v>0</v>
      </c>
      <c r="AJ38" s="48">
        <f>'Revenue - B-to-B'!AK10</f>
        <v>0</v>
      </c>
      <c r="AK38" s="48">
        <f>'Revenue - B-to-B'!AL10</f>
        <v>0</v>
      </c>
      <c r="AL38" s="48">
        <f>'Revenue - B-to-B'!AM10</f>
        <v>0</v>
      </c>
      <c r="AM38" s="48">
        <f>'Revenue - B-to-B'!AN10</f>
        <v>0</v>
      </c>
      <c r="AN38" s="48">
        <f>'Revenue - B-to-B'!AO10</f>
        <v>0</v>
      </c>
      <c r="AO38" s="48">
        <f>'Revenue - B-to-B'!AP10</f>
        <v>0</v>
      </c>
      <c r="AP38" s="15">
        <f>'Revenue - B-to-B'!AQ10</f>
        <v>0</v>
      </c>
    </row>
    <row r="39" spans="1:43" ht="12.75">
      <c r="A39" s="316" t="s">
        <v>176</v>
      </c>
      <c r="B39" s="49">
        <f>'Revenue - B-to-B'!C12</f>
        <v>0</v>
      </c>
      <c r="C39" s="49">
        <f>'Revenue - B-to-B'!D12</f>
        <v>264000</v>
      </c>
      <c r="D39" s="49">
        <f>'Revenue - B-to-B'!E12</f>
        <v>480000</v>
      </c>
      <c r="E39" s="310" t="str">
        <f>'Revenue - B-to-B'!F12</f>
        <v>year 2 launch</v>
      </c>
      <c r="F39" s="285"/>
      <c r="G39" s="48">
        <f>'Revenue - B-to-B'!H12</f>
        <v>0</v>
      </c>
      <c r="H39" s="48">
        <f>'Revenue - B-to-B'!I12</f>
        <v>0</v>
      </c>
      <c r="I39" s="48">
        <f>'Revenue - B-to-B'!J12</f>
        <v>0</v>
      </c>
      <c r="J39" s="48">
        <f>'Revenue - B-to-B'!K12</f>
        <v>0</v>
      </c>
      <c r="K39" s="48">
        <f>'Revenue - B-to-B'!L12</f>
        <v>0</v>
      </c>
      <c r="L39" s="48">
        <f>'Revenue - B-to-B'!M12</f>
        <v>0</v>
      </c>
      <c r="M39" s="48">
        <f>'Revenue - B-to-B'!N12</f>
        <v>0</v>
      </c>
      <c r="N39" s="48">
        <f>'Revenue - B-to-B'!O12</f>
        <v>0</v>
      </c>
      <c r="O39" s="48">
        <f>'Revenue - B-to-B'!P12</f>
        <v>0</v>
      </c>
      <c r="P39" s="48">
        <f>'Revenue - B-to-B'!Q12</f>
        <v>0</v>
      </c>
      <c r="Q39" s="48">
        <f>'Revenue - B-to-B'!R12</f>
        <v>0</v>
      </c>
      <c r="R39" s="48">
        <f>'Revenue - B-to-B'!S12</f>
        <v>0</v>
      </c>
      <c r="S39" s="48">
        <f>'Revenue - B-to-B'!T12</f>
        <v>22000</v>
      </c>
      <c r="T39" s="48">
        <f>'Revenue - B-to-B'!U12</f>
        <v>22000</v>
      </c>
      <c r="U39" s="48">
        <f>'Revenue - B-to-B'!V12</f>
        <v>22000</v>
      </c>
      <c r="V39" s="48">
        <f>'Revenue - B-to-B'!W12</f>
        <v>22000</v>
      </c>
      <c r="W39" s="48">
        <f>'Revenue - B-to-B'!X12</f>
        <v>22000</v>
      </c>
      <c r="X39" s="48">
        <f>'Revenue - B-to-B'!Y12</f>
        <v>22000</v>
      </c>
      <c r="Y39" s="48">
        <f>'Revenue - B-to-B'!Z12</f>
        <v>22000</v>
      </c>
      <c r="Z39" s="48">
        <f>'Revenue - B-to-B'!AA12</f>
        <v>22000</v>
      </c>
      <c r="AA39" s="48">
        <f>'Revenue - B-to-B'!AB12</f>
        <v>22000</v>
      </c>
      <c r="AB39" s="48">
        <f>'Revenue - B-to-B'!AC12</f>
        <v>22000</v>
      </c>
      <c r="AC39" s="48">
        <f>'Revenue - B-to-B'!AD12</f>
        <v>22000</v>
      </c>
      <c r="AD39" s="48">
        <f>'Revenue - B-to-B'!AE12</f>
        <v>22000</v>
      </c>
      <c r="AE39" s="48">
        <f>'Revenue - B-to-B'!AF12</f>
        <v>40000</v>
      </c>
      <c r="AF39" s="48">
        <f>'Revenue - B-to-B'!AG12</f>
        <v>40000</v>
      </c>
      <c r="AG39" s="48">
        <f>'Revenue - B-to-B'!AH12</f>
        <v>40000</v>
      </c>
      <c r="AH39" s="48">
        <f>'Revenue - B-to-B'!AI12</f>
        <v>40000</v>
      </c>
      <c r="AI39" s="48">
        <f>'Revenue - B-to-B'!AJ12</f>
        <v>40000</v>
      </c>
      <c r="AJ39" s="48">
        <f>'Revenue - B-to-B'!AK12</f>
        <v>40000</v>
      </c>
      <c r="AK39" s="48">
        <f>'Revenue - B-to-B'!AL12</f>
        <v>40000</v>
      </c>
      <c r="AL39" s="48">
        <f>'Revenue - B-to-B'!AM12</f>
        <v>40000</v>
      </c>
      <c r="AM39" s="48">
        <f>'Revenue - B-to-B'!AN12</f>
        <v>40000</v>
      </c>
      <c r="AN39" s="48">
        <f>'Revenue - B-to-B'!AO12</f>
        <v>40000</v>
      </c>
      <c r="AO39" s="48">
        <f>'Revenue - B-to-B'!AP12</f>
        <v>40000</v>
      </c>
      <c r="AP39" s="15">
        <f>'Revenue - B-to-B'!AQ12</f>
        <v>40000</v>
      </c>
      <c r="AQ39" s="48"/>
    </row>
    <row r="40" spans="1:44" ht="12.75">
      <c r="A40" s="316" t="s">
        <v>177</v>
      </c>
      <c r="B40" s="49">
        <f>'Revenue - B-to-B'!C14</f>
        <v>0</v>
      </c>
      <c r="C40" s="49">
        <f>'Revenue - B-to-B'!D14</f>
        <v>120000</v>
      </c>
      <c r="D40" s="49">
        <f>'Revenue - B-to-B'!E14</f>
        <v>180000</v>
      </c>
      <c r="E40" s="310" t="str">
        <f>'Revenue - B-to-B'!F14</f>
        <v>year 2 launch</v>
      </c>
      <c r="F40" s="285"/>
      <c r="G40" s="48">
        <f>'Revenue - B-to-B'!H14</f>
        <v>0</v>
      </c>
      <c r="H40" s="48">
        <f>'Revenue - B-to-B'!I14</f>
        <v>0</v>
      </c>
      <c r="I40" s="48">
        <f>'Revenue - B-to-B'!J14</f>
        <v>0</v>
      </c>
      <c r="J40" s="48">
        <f>'Revenue - B-to-B'!K14</f>
        <v>0</v>
      </c>
      <c r="K40" s="48">
        <f>'Revenue - B-to-B'!L14</f>
        <v>0</v>
      </c>
      <c r="L40" s="48">
        <f>'Revenue - B-to-B'!M14</f>
        <v>0</v>
      </c>
      <c r="M40" s="48">
        <f>'Revenue - B-to-B'!N14</f>
        <v>0</v>
      </c>
      <c r="N40" s="48">
        <f>'Revenue - B-to-B'!O14</f>
        <v>0</v>
      </c>
      <c r="O40" s="48">
        <f>'Revenue - B-to-B'!P14</f>
        <v>0</v>
      </c>
      <c r="P40" s="48">
        <f>'Revenue - B-to-B'!Q14</f>
        <v>0</v>
      </c>
      <c r="Q40" s="48">
        <f>'Revenue - B-to-B'!R14</f>
        <v>0</v>
      </c>
      <c r="R40" s="48">
        <f>'Revenue - B-to-B'!S14</f>
        <v>0</v>
      </c>
      <c r="S40" s="48">
        <f>'Revenue - B-to-B'!T14</f>
        <v>10000</v>
      </c>
      <c r="T40" s="48">
        <f>'Revenue - B-to-B'!U14</f>
        <v>10000</v>
      </c>
      <c r="U40" s="48">
        <f>'Revenue - B-to-B'!V14</f>
        <v>10000</v>
      </c>
      <c r="V40" s="48">
        <f>'Revenue - B-to-B'!W14</f>
        <v>10000</v>
      </c>
      <c r="W40" s="48">
        <f>'Revenue - B-to-B'!X14</f>
        <v>10000</v>
      </c>
      <c r="X40" s="48">
        <f>'Revenue - B-to-B'!Y14</f>
        <v>10000</v>
      </c>
      <c r="Y40" s="48">
        <f>'Revenue - B-to-B'!Z14</f>
        <v>10000</v>
      </c>
      <c r="Z40" s="48">
        <f>'Revenue - B-to-B'!AA14</f>
        <v>10000</v>
      </c>
      <c r="AA40" s="48">
        <f>'Revenue - B-to-B'!AB14</f>
        <v>10000</v>
      </c>
      <c r="AB40" s="48">
        <f>'Revenue - B-to-B'!AC14</f>
        <v>10000</v>
      </c>
      <c r="AC40" s="48">
        <f>'Revenue - B-to-B'!AD14</f>
        <v>10000</v>
      </c>
      <c r="AD40" s="48">
        <f>'Revenue - B-to-B'!AE14</f>
        <v>10000</v>
      </c>
      <c r="AE40" s="48">
        <f>'Revenue - B-to-B'!AF14</f>
        <v>15000</v>
      </c>
      <c r="AF40" s="48">
        <f>'Revenue - B-to-B'!AG14</f>
        <v>15000</v>
      </c>
      <c r="AG40" s="48">
        <f>'Revenue - B-to-B'!AH14</f>
        <v>15000</v>
      </c>
      <c r="AH40" s="48">
        <f>'Revenue - B-to-B'!AI14</f>
        <v>15000</v>
      </c>
      <c r="AI40" s="48">
        <f>'Revenue - B-to-B'!AJ14</f>
        <v>15000</v>
      </c>
      <c r="AJ40" s="48">
        <f>'Revenue - B-to-B'!AK14</f>
        <v>15000</v>
      </c>
      <c r="AK40" s="48">
        <f>'Revenue - B-to-B'!AL14</f>
        <v>15000</v>
      </c>
      <c r="AL40" s="48">
        <f>'Revenue - B-to-B'!AM14</f>
        <v>15000</v>
      </c>
      <c r="AM40" s="48">
        <f>'Revenue - B-to-B'!AN14</f>
        <v>15000</v>
      </c>
      <c r="AN40" s="48">
        <f>'Revenue - B-to-B'!AO14</f>
        <v>15000</v>
      </c>
      <c r="AO40" s="48">
        <f>'Revenue - B-to-B'!AP14</f>
        <v>15000</v>
      </c>
      <c r="AP40" s="15">
        <f>'Revenue - B-to-B'!AQ14</f>
        <v>15000</v>
      </c>
      <c r="AQ40" s="48"/>
      <c r="AR40" s="48"/>
    </row>
    <row r="41" spans="1:42" ht="12.75">
      <c r="A41" s="316" t="s">
        <v>178</v>
      </c>
      <c r="B41" s="49">
        <f>'Revenue - B-to-B'!C16</f>
        <v>0</v>
      </c>
      <c r="C41" s="49">
        <f>'Revenue - B-to-B'!D16</f>
        <v>0</v>
      </c>
      <c r="D41" s="49">
        <f>'Revenue - B-to-B'!E16</f>
        <v>0</v>
      </c>
      <c r="E41" s="310" t="str">
        <f>'Revenue - B-to-B'!F16</f>
        <v>Not included in this model</v>
      </c>
      <c r="F41" s="285"/>
      <c r="G41" s="48">
        <f>'Revenue - B-to-B'!H16</f>
        <v>0</v>
      </c>
      <c r="H41" s="48">
        <f>'Revenue - B-to-B'!I16</f>
        <v>0</v>
      </c>
      <c r="I41" s="48">
        <f>'Revenue - B-to-B'!J16</f>
        <v>0</v>
      </c>
      <c r="J41" s="48">
        <f>'Revenue - B-to-B'!K16</f>
        <v>0</v>
      </c>
      <c r="K41" s="48">
        <f>'Revenue - B-to-B'!L16</f>
        <v>0</v>
      </c>
      <c r="L41" s="48">
        <f>'Revenue - B-to-B'!M16</f>
        <v>0</v>
      </c>
      <c r="M41" s="48">
        <f>'Revenue - B-to-B'!N16</f>
        <v>0</v>
      </c>
      <c r="N41" s="48">
        <f>'Revenue - B-to-B'!O16</f>
        <v>0</v>
      </c>
      <c r="O41" s="48">
        <f>'Revenue - B-to-B'!P16</f>
        <v>0</v>
      </c>
      <c r="P41" s="48">
        <f>'Revenue - B-to-B'!Q16</f>
        <v>0</v>
      </c>
      <c r="Q41" s="48">
        <f>'Revenue - B-to-B'!R16</f>
        <v>0</v>
      </c>
      <c r="R41" s="48">
        <f>'Revenue - B-to-B'!S16</f>
        <v>0</v>
      </c>
      <c r="S41" s="48">
        <f>'Revenue - B-to-B'!T16</f>
        <v>0</v>
      </c>
      <c r="T41" s="48">
        <f>'Revenue - B-to-B'!U16</f>
        <v>0</v>
      </c>
      <c r="U41" s="48">
        <f>'Revenue - B-to-B'!V16</f>
        <v>0</v>
      </c>
      <c r="V41" s="48">
        <f>'Revenue - B-to-B'!W16</f>
        <v>0</v>
      </c>
      <c r="W41" s="48">
        <f>'Revenue - B-to-B'!X16</f>
        <v>0</v>
      </c>
      <c r="X41" s="48">
        <f>'Revenue - B-to-B'!Y16</f>
        <v>0</v>
      </c>
      <c r="Y41" s="48">
        <f>'Revenue - B-to-B'!Z16</f>
        <v>0</v>
      </c>
      <c r="Z41" s="48">
        <f>'Revenue - B-to-B'!AA16</f>
        <v>0</v>
      </c>
      <c r="AA41" s="48">
        <f>'Revenue - B-to-B'!AB16</f>
        <v>0</v>
      </c>
      <c r="AB41" s="48">
        <f>'Revenue - B-to-B'!AC16</f>
        <v>0</v>
      </c>
      <c r="AC41" s="48">
        <f>'Revenue - B-to-B'!AD16</f>
        <v>0</v>
      </c>
      <c r="AD41" s="48">
        <f>'Revenue - B-to-B'!AE16</f>
        <v>0</v>
      </c>
      <c r="AE41" s="48">
        <f>'Revenue - B-to-B'!AF16</f>
        <v>0</v>
      </c>
      <c r="AF41" s="48">
        <f>'Revenue - B-to-B'!AG16</f>
        <v>0</v>
      </c>
      <c r="AG41" s="48">
        <f>'Revenue - B-to-B'!AH16</f>
        <v>0</v>
      </c>
      <c r="AH41" s="48">
        <f>'Revenue - B-to-B'!AI16</f>
        <v>0</v>
      </c>
      <c r="AI41" s="48">
        <f>'Revenue - B-to-B'!AJ16</f>
        <v>0</v>
      </c>
      <c r="AJ41" s="48">
        <f>'Revenue - B-to-B'!AK16</f>
        <v>0</v>
      </c>
      <c r="AK41" s="48">
        <f>'Revenue - B-to-B'!AL16</f>
        <v>0</v>
      </c>
      <c r="AL41" s="48">
        <f>'Revenue - B-to-B'!AM16</f>
        <v>0</v>
      </c>
      <c r="AM41" s="48">
        <f>'Revenue - B-to-B'!AN16</f>
        <v>0</v>
      </c>
      <c r="AN41" s="48">
        <f>'Revenue - B-to-B'!AO16</f>
        <v>0</v>
      </c>
      <c r="AO41" s="48">
        <f>'Revenue - B-to-B'!AP16</f>
        <v>0</v>
      </c>
      <c r="AP41" s="15">
        <f>'Revenue - B-to-B'!AQ16</f>
        <v>0</v>
      </c>
    </row>
    <row r="42" spans="1:42" s="45" customFormat="1" ht="13.5" thickBot="1">
      <c r="A42" s="317" t="s">
        <v>179</v>
      </c>
      <c r="B42" s="303">
        <f>'Revenue - B-to-B'!C18</f>
        <v>0</v>
      </c>
      <c r="C42" s="303">
        <f>'Revenue - B-to-B'!D18</f>
        <v>0</v>
      </c>
      <c r="D42" s="303">
        <f>'Revenue - B-to-B'!E18</f>
        <v>0</v>
      </c>
      <c r="E42" s="312" t="str">
        <f>'Revenue - B-to-B'!F18</f>
        <v>Not included in this model</v>
      </c>
      <c r="F42" s="288"/>
      <c r="G42" s="289">
        <f>'Revenue - B-to-B'!H18</f>
        <v>0</v>
      </c>
      <c r="H42" s="289">
        <f>'Revenue - B-to-B'!I18</f>
        <v>0</v>
      </c>
      <c r="I42" s="289">
        <f>'Revenue - B-to-B'!J18</f>
        <v>0</v>
      </c>
      <c r="J42" s="289">
        <f>'Revenue - B-to-B'!K18</f>
        <v>0</v>
      </c>
      <c r="K42" s="289">
        <f>'Revenue - B-to-B'!L18</f>
        <v>0</v>
      </c>
      <c r="L42" s="289">
        <f>'Revenue - B-to-B'!M18</f>
        <v>0</v>
      </c>
      <c r="M42" s="289">
        <f>'Revenue - B-to-B'!N18</f>
        <v>0</v>
      </c>
      <c r="N42" s="289">
        <f>'Revenue - B-to-B'!O18</f>
        <v>0</v>
      </c>
      <c r="O42" s="289">
        <f>'Revenue - B-to-B'!P18</f>
        <v>0</v>
      </c>
      <c r="P42" s="289">
        <f>'Revenue - B-to-B'!Q18</f>
        <v>0</v>
      </c>
      <c r="Q42" s="289">
        <f>'Revenue - B-to-B'!R18</f>
        <v>0</v>
      </c>
      <c r="R42" s="289">
        <f>'Revenue - B-to-B'!S18</f>
        <v>0</v>
      </c>
      <c r="S42" s="289">
        <f>'Revenue - B-to-B'!T18</f>
        <v>0</v>
      </c>
      <c r="T42" s="289">
        <f>'Revenue - B-to-B'!U18</f>
        <v>0</v>
      </c>
      <c r="U42" s="289">
        <f>'Revenue - B-to-B'!V18</f>
        <v>0</v>
      </c>
      <c r="V42" s="289">
        <f>'Revenue - B-to-B'!W18</f>
        <v>0</v>
      </c>
      <c r="W42" s="289">
        <f>'Revenue - B-to-B'!X18</f>
        <v>0</v>
      </c>
      <c r="X42" s="289">
        <f>'Revenue - B-to-B'!Y18</f>
        <v>0</v>
      </c>
      <c r="Y42" s="289">
        <f>'Revenue - B-to-B'!Z18</f>
        <v>0</v>
      </c>
      <c r="Z42" s="289">
        <f>'Revenue - B-to-B'!AA18</f>
        <v>0</v>
      </c>
      <c r="AA42" s="289">
        <f>'Revenue - B-to-B'!AB18</f>
        <v>0</v>
      </c>
      <c r="AB42" s="289">
        <f>'Revenue - B-to-B'!AC18</f>
        <v>0</v>
      </c>
      <c r="AC42" s="289">
        <f>'Revenue - B-to-B'!AD18</f>
        <v>0</v>
      </c>
      <c r="AD42" s="289">
        <f>'Revenue - B-to-B'!AE18</f>
        <v>0</v>
      </c>
      <c r="AE42" s="289">
        <f>'Revenue - B-to-B'!AF18</f>
        <v>0</v>
      </c>
      <c r="AF42" s="289">
        <f>'Revenue - B-to-B'!AG18</f>
        <v>0</v>
      </c>
      <c r="AG42" s="289">
        <f>'Revenue - B-to-B'!AH18</f>
        <v>0</v>
      </c>
      <c r="AH42" s="289">
        <f>'Revenue - B-to-B'!AI18</f>
        <v>0</v>
      </c>
      <c r="AI42" s="289">
        <f>'Revenue - B-to-B'!AJ18</f>
        <v>0</v>
      </c>
      <c r="AJ42" s="289">
        <f>'Revenue - B-to-B'!AK18</f>
        <v>0</v>
      </c>
      <c r="AK42" s="289">
        <f>'Revenue - B-to-B'!AL18</f>
        <v>0</v>
      </c>
      <c r="AL42" s="289">
        <f>'Revenue - B-to-B'!AM18</f>
        <v>0</v>
      </c>
      <c r="AM42" s="289">
        <f>'Revenue - B-to-B'!AN18</f>
        <v>0</v>
      </c>
      <c r="AN42" s="289">
        <f>'Revenue - B-to-B'!AO18</f>
        <v>0</v>
      </c>
      <c r="AO42" s="289">
        <f>'Revenue - B-to-B'!AP18</f>
        <v>0</v>
      </c>
      <c r="AP42" s="292">
        <f>'Revenue - B-to-B'!AQ18</f>
        <v>0</v>
      </c>
    </row>
    <row r="43" spans="1:42" ht="13.5" thickTop="1">
      <c r="A43" s="223" t="s">
        <v>285</v>
      </c>
      <c r="B43" s="49">
        <f>SUM(B35:B42)</f>
        <v>1996044.5614035088</v>
      </c>
      <c r="C43" s="49">
        <f>SUM(C35:C42)</f>
        <v>2840709.4736842103</v>
      </c>
      <c r="D43" s="49">
        <f>SUM(D35:D42)</f>
        <v>3506102.807017544</v>
      </c>
      <c r="E43" s="310"/>
      <c r="F43" s="285"/>
      <c r="G43" s="49">
        <f>SUM(G35:G42)</f>
        <v>166337.04678362576</v>
      </c>
      <c r="H43" s="49">
        <f aca="true" t="shared" si="1" ref="H43:AP43">SUM(H35:H42)</f>
        <v>166337.04678362576</v>
      </c>
      <c r="I43" s="49">
        <f t="shared" si="1"/>
        <v>166337.04678362576</v>
      </c>
      <c r="J43" s="49">
        <f t="shared" si="1"/>
        <v>166337.04678362576</v>
      </c>
      <c r="K43" s="49">
        <f t="shared" si="1"/>
        <v>166337.04678362576</v>
      </c>
      <c r="L43" s="49">
        <f t="shared" si="1"/>
        <v>166337.04678362576</v>
      </c>
      <c r="M43" s="49">
        <f t="shared" si="1"/>
        <v>166337.04678362576</v>
      </c>
      <c r="N43" s="49">
        <f t="shared" si="1"/>
        <v>166337.04678362576</v>
      </c>
      <c r="O43" s="49">
        <f t="shared" si="1"/>
        <v>166337.04678362576</v>
      </c>
      <c r="P43" s="49">
        <f t="shared" si="1"/>
        <v>166337.04678362576</v>
      </c>
      <c r="Q43" s="49">
        <f t="shared" si="1"/>
        <v>166337.04678362576</v>
      </c>
      <c r="R43" s="49">
        <f t="shared" si="1"/>
        <v>166337.04678362576</v>
      </c>
      <c r="S43" s="49">
        <f t="shared" si="1"/>
        <v>236725.7894736842</v>
      </c>
      <c r="T43" s="49">
        <f t="shared" si="1"/>
        <v>236725.7894736842</v>
      </c>
      <c r="U43" s="49">
        <f t="shared" si="1"/>
        <v>236725.7894736842</v>
      </c>
      <c r="V43" s="49">
        <f t="shared" si="1"/>
        <v>236725.7894736842</v>
      </c>
      <c r="W43" s="49">
        <f t="shared" si="1"/>
        <v>236725.7894736842</v>
      </c>
      <c r="X43" s="49">
        <f t="shared" si="1"/>
        <v>236725.7894736842</v>
      </c>
      <c r="Y43" s="49">
        <f t="shared" si="1"/>
        <v>236725.7894736842</v>
      </c>
      <c r="Z43" s="49">
        <f t="shared" si="1"/>
        <v>236725.7894736842</v>
      </c>
      <c r="AA43" s="49">
        <f t="shared" si="1"/>
        <v>236725.7894736842</v>
      </c>
      <c r="AB43" s="49">
        <f t="shared" si="1"/>
        <v>236725.7894736842</v>
      </c>
      <c r="AC43" s="49">
        <f t="shared" si="1"/>
        <v>236725.7894736842</v>
      </c>
      <c r="AD43" s="49">
        <f t="shared" si="1"/>
        <v>236725.7894736842</v>
      </c>
      <c r="AE43" s="49">
        <f t="shared" si="1"/>
        <v>292175.23391812865</v>
      </c>
      <c r="AF43" s="49">
        <f t="shared" si="1"/>
        <v>292175.23391812865</v>
      </c>
      <c r="AG43" s="49">
        <f t="shared" si="1"/>
        <v>292175.23391812865</v>
      </c>
      <c r="AH43" s="49">
        <f t="shared" si="1"/>
        <v>292175.23391812865</v>
      </c>
      <c r="AI43" s="49">
        <f t="shared" si="1"/>
        <v>292175.23391812865</v>
      </c>
      <c r="AJ43" s="49">
        <f t="shared" si="1"/>
        <v>292175.23391812865</v>
      </c>
      <c r="AK43" s="49">
        <f t="shared" si="1"/>
        <v>292175.23391812865</v>
      </c>
      <c r="AL43" s="49">
        <f t="shared" si="1"/>
        <v>292175.23391812865</v>
      </c>
      <c r="AM43" s="49">
        <f t="shared" si="1"/>
        <v>292175.23391812865</v>
      </c>
      <c r="AN43" s="49">
        <f t="shared" si="1"/>
        <v>292175.23391812865</v>
      </c>
      <c r="AO43" s="49">
        <f t="shared" si="1"/>
        <v>292175.23391812865</v>
      </c>
      <c r="AP43" s="278">
        <f t="shared" si="1"/>
        <v>292175.23391812865</v>
      </c>
    </row>
    <row r="44" spans="1:42" ht="12.75">
      <c r="A44" s="46"/>
      <c r="B44" s="47"/>
      <c r="C44" s="47"/>
      <c r="D44" s="47"/>
      <c r="E44" s="310"/>
      <c r="F44" s="28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277"/>
    </row>
    <row r="45" spans="1:42" ht="13.5" customHeight="1" thickBot="1">
      <c r="A45" s="36" t="s">
        <v>114</v>
      </c>
      <c r="B45" s="304">
        <f>B18+B32+B43</f>
        <v>4951525.981611751</v>
      </c>
      <c r="C45" s="304">
        <f>C18+C32+C43</f>
        <v>11352015.544698527</v>
      </c>
      <c r="D45" s="304">
        <f>D18+D32+D43</f>
        <v>20301861.87213539</v>
      </c>
      <c r="E45" s="313"/>
      <c r="F45" s="256"/>
      <c r="G45" s="20">
        <f aca="true" t="shared" si="2" ref="G45:AP45">G16+G32+G43</f>
        <v>264436.3040935673</v>
      </c>
      <c r="H45" s="20">
        <f t="shared" si="2"/>
        <v>287429.83040935674</v>
      </c>
      <c r="I45" s="20">
        <f t="shared" si="2"/>
        <v>310423.35672514624</v>
      </c>
      <c r="J45" s="20">
        <f t="shared" si="2"/>
        <v>333416.88304093573</v>
      </c>
      <c r="K45" s="20">
        <f t="shared" si="2"/>
        <v>356410.40935672517</v>
      </c>
      <c r="L45" s="20">
        <f t="shared" si="2"/>
        <v>379403.93567251466</v>
      </c>
      <c r="M45" s="20">
        <f t="shared" si="2"/>
        <v>402397.46198830416</v>
      </c>
      <c r="N45" s="20">
        <f t="shared" si="2"/>
        <v>425390.9883040936</v>
      </c>
      <c r="O45" s="20">
        <f t="shared" si="2"/>
        <v>448384.51461988303</v>
      </c>
      <c r="P45" s="20">
        <f t="shared" si="2"/>
        <v>471378.0409356726</v>
      </c>
      <c r="Q45" s="20">
        <f t="shared" si="2"/>
        <v>494371.5672514619</v>
      </c>
      <c r="R45" s="20">
        <f t="shared" si="2"/>
        <v>519194.0409356726</v>
      </c>
      <c r="S45" s="20">
        <f t="shared" si="2"/>
        <v>750286.3827485379</v>
      </c>
      <c r="T45" s="20">
        <f t="shared" si="2"/>
        <v>774585.0459064327</v>
      </c>
      <c r="U45" s="20">
        <f t="shared" si="2"/>
        <v>798883.7090643274</v>
      </c>
      <c r="V45" s="20">
        <f t="shared" si="2"/>
        <v>823182.3722222222</v>
      </c>
      <c r="W45" s="20">
        <f t="shared" si="2"/>
        <v>847481.0353801167</v>
      </c>
      <c r="X45" s="20">
        <f t="shared" si="2"/>
        <v>871779.6985380116</v>
      </c>
      <c r="Y45" s="20">
        <f t="shared" si="2"/>
        <v>896078.3616959061</v>
      </c>
      <c r="Z45" s="20">
        <f t="shared" si="2"/>
        <v>920377.0248538011</v>
      </c>
      <c r="AA45" s="20">
        <f t="shared" si="2"/>
        <v>944675.6880116959</v>
      </c>
      <c r="AB45" s="20">
        <f t="shared" si="2"/>
        <v>968974.3511695904</v>
      </c>
      <c r="AC45" s="20">
        <f t="shared" si="2"/>
        <v>993273.0143274851</v>
      </c>
      <c r="AD45" s="20">
        <f t="shared" si="2"/>
        <v>1017571.6774853803</v>
      </c>
      <c r="AE45" s="20">
        <f t="shared" si="2"/>
        <v>1410068.2449378655</v>
      </c>
      <c r="AF45" s="20">
        <f t="shared" si="2"/>
        <v>1435672.0449378653</v>
      </c>
      <c r="AG45" s="20">
        <f t="shared" si="2"/>
        <v>1461275.8449378656</v>
      </c>
      <c r="AH45" s="20">
        <f t="shared" si="2"/>
        <v>1486879.6449378654</v>
      </c>
      <c r="AI45" s="20">
        <f t="shared" si="2"/>
        <v>1512483.4449378652</v>
      </c>
      <c r="AJ45" s="20">
        <f t="shared" si="2"/>
        <v>1538087.244937865</v>
      </c>
      <c r="AK45" s="20">
        <f t="shared" si="2"/>
        <v>1563691.0449378653</v>
      </c>
      <c r="AL45" s="20">
        <f t="shared" si="2"/>
        <v>1589294.8449378652</v>
      </c>
      <c r="AM45" s="20">
        <f t="shared" si="2"/>
        <v>1614898.644937865</v>
      </c>
      <c r="AN45" s="20">
        <f t="shared" si="2"/>
        <v>1640502.4449378652</v>
      </c>
      <c r="AO45" s="20">
        <f t="shared" si="2"/>
        <v>1666106.2449378655</v>
      </c>
      <c r="AP45" s="21">
        <f t="shared" si="2"/>
        <v>1691710.0449378653</v>
      </c>
    </row>
    <row r="46" spans="1:4" ht="12.75">
      <c r="A46" s="46"/>
      <c r="B46" s="37"/>
      <c r="C46" s="47"/>
      <c r="D46" s="47"/>
    </row>
    <row r="47" spans="1:7" ht="12.75" customHeight="1">
      <c r="A47" s="307" t="s">
        <v>272</v>
      </c>
      <c r="B47" s="305"/>
      <c r="C47" s="306"/>
      <c r="D47" s="306"/>
      <c r="E47" s="45"/>
      <c r="F47" s="45"/>
      <c r="G47" s="48"/>
    </row>
    <row r="48" spans="1:4" ht="12.75" customHeight="1">
      <c r="A48" s="46"/>
      <c r="B48" s="46"/>
      <c r="C48" s="46"/>
      <c r="D48" s="46"/>
    </row>
    <row r="49" spans="1:4" ht="12.75" customHeight="1">
      <c r="A49" s="36" t="s">
        <v>99</v>
      </c>
      <c r="B49" s="49">
        <f>'Expenses - Website'!E28</f>
        <v>4587500</v>
      </c>
      <c r="C49" s="49">
        <f>'Expenses - Website'!F28</f>
        <v>5380900</v>
      </c>
      <c r="D49" s="49">
        <f>'Expenses - Website'!G28</f>
        <v>6203705.999999999</v>
      </c>
    </row>
    <row r="50" spans="1:4" ht="12.75" customHeight="1">
      <c r="A50" s="46"/>
      <c r="B50" s="46"/>
      <c r="C50" s="46"/>
      <c r="D50" s="46"/>
    </row>
    <row r="51" spans="1:4" ht="12.75" customHeight="1">
      <c r="A51" s="302" t="s">
        <v>273</v>
      </c>
      <c r="B51" s="46"/>
      <c r="C51" s="46"/>
      <c r="D51" s="46"/>
    </row>
    <row r="52" spans="1:4" ht="12.75" customHeight="1">
      <c r="A52" s="316" t="s">
        <v>274</v>
      </c>
      <c r="B52" s="49">
        <f>'Expenses- BtoC'!D47</f>
        <v>5000</v>
      </c>
      <c r="C52" s="49">
        <f>'Expenses- BtoC'!E47</f>
        <v>0</v>
      </c>
      <c r="D52" s="49">
        <f>'Expenses- BtoC'!F47</f>
        <v>0</v>
      </c>
    </row>
    <row r="53" spans="1:4" ht="12.75" customHeight="1">
      <c r="A53" s="316" t="s">
        <v>275</v>
      </c>
      <c r="B53" s="49">
        <f>'Expenses- BtoC'!D73</f>
        <v>258800</v>
      </c>
      <c r="C53" s="49">
        <f>'Expenses- BtoC'!E73</f>
        <v>254300</v>
      </c>
      <c r="D53" s="49">
        <f>'Expenses- BtoC'!F73</f>
        <v>254810</v>
      </c>
    </row>
    <row r="54" spans="1:4" ht="12.75" customHeight="1">
      <c r="A54" s="316" t="s">
        <v>276</v>
      </c>
      <c r="B54" s="49">
        <f>'Expenses- BtoC'!D98</f>
        <v>130000</v>
      </c>
      <c r="C54" s="49">
        <f>'Expenses- BtoC'!E98</f>
        <v>186000</v>
      </c>
      <c r="D54" s="49">
        <f>'Expenses- BtoC'!F98</f>
        <v>219320</v>
      </c>
    </row>
    <row r="55" spans="1:4" ht="12.75" customHeight="1">
      <c r="A55" s="316" t="s">
        <v>277</v>
      </c>
      <c r="B55" s="49">
        <f>'Expenses- BtoC'!D117</f>
        <v>8000</v>
      </c>
      <c r="C55" s="49">
        <f>'Expenses- BtoC'!E117</f>
        <v>3000</v>
      </c>
      <c r="D55" s="49">
        <f>'Expenses- BtoC'!F117</f>
        <v>3000</v>
      </c>
    </row>
    <row r="56" spans="1:4" ht="12.75" customHeight="1">
      <c r="A56" s="316" t="s">
        <v>278</v>
      </c>
      <c r="B56" s="49">
        <f>'Expenses- BtoC'!D135</f>
        <v>2000</v>
      </c>
      <c r="C56" s="49">
        <f>'Expenses- BtoC'!E135</f>
        <v>0</v>
      </c>
      <c r="D56" s="49">
        <f>'Expenses- BtoC'!F135</f>
        <v>0</v>
      </c>
    </row>
    <row r="57" spans="1:4" ht="12.75" customHeight="1">
      <c r="A57" s="317" t="s">
        <v>279</v>
      </c>
      <c r="B57" s="49">
        <f>'Expenses- BtoC'!D14</f>
        <v>0</v>
      </c>
      <c r="C57" s="49">
        <f>'Expenses- BtoC'!E14</f>
        <v>0</v>
      </c>
      <c r="D57" s="49">
        <f>'Expenses- BtoC'!F14</f>
        <v>0</v>
      </c>
    </row>
    <row r="58" spans="1:4" ht="12.75" customHeight="1">
      <c r="A58" s="316" t="s">
        <v>280</v>
      </c>
      <c r="B58" s="49">
        <f>'Expenses- BtoC'!D175</f>
        <v>0</v>
      </c>
      <c r="C58" s="49">
        <f>'Expenses- BtoC'!E175</f>
        <v>69387.5</v>
      </c>
      <c r="D58" s="49">
        <f>'Expenses- BtoC'!F175</f>
        <v>66675.25</v>
      </c>
    </row>
    <row r="59" spans="1:76" ht="12.75" customHeight="1">
      <c r="A59" s="316" t="s">
        <v>281</v>
      </c>
      <c r="B59" s="49">
        <f>'Expenses- BtoC'!D193</f>
        <v>0</v>
      </c>
      <c r="C59" s="49">
        <f>'Expenses- BtoC'!E193</f>
        <v>5000</v>
      </c>
      <c r="D59" s="49">
        <f>'Expenses- BtoC'!F193</f>
        <v>0</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row>
    <row r="60" spans="1:76" ht="12.75" customHeight="1">
      <c r="A60" s="316" t="s">
        <v>282</v>
      </c>
      <c r="B60" s="49">
        <f>'Expenses- BtoC'!D235</f>
        <v>0</v>
      </c>
      <c r="C60" s="49">
        <f>'Expenses- BtoC'!E235</f>
        <v>1135541.375</v>
      </c>
      <c r="D60" s="49">
        <f>'Expenses- BtoC'!F235</f>
        <v>2743617.0796875</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row>
    <row r="61" spans="1:76" ht="12.75" customHeight="1">
      <c r="A61" s="317" t="s">
        <v>283</v>
      </c>
      <c r="B61" s="49">
        <f>'Expenses- BtoC'!D22</f>
        <v>0</v>
      </c>
      <c r="C61" s="49">
        <f>'Expenses- BtoC'!E22</f>
        <v>35000</v>
      </c>
      <c r="D61" s="49">
        <f>'Expenses- BtoC'!F22</f>
        <v>10000</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row>
    <row r="62" spans="1:76" s="52" customFormat="1" ht="12.75" customHeight="1">
      <c r="A62" s="316" t="s">
        <v>284</v>
      </c>
      <c r="B62" s="49">
        <f>'Expenses- BtoC'!D269</f>
        <v>0</v>
      </c>
      <c r="C62" s="49">
        <f>'Expenses- BtoC'!E269</f>
        <v>0</v>
      </c>
      <c r="D62" s="49">
        <f>'Expenses- BtoC'!F269</f>
        <v>0</v>
      </c>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row>
    <row r="63" spans="1:76" ht="12.75" customHeight="1">
      <c r="A63" s="302" t="s">
        <v>285</v>
      </c>
      <c r="B63" s="49">
        <f>SUM(B52:B62)</f>
        <v>403800</v>
      </c>
      <c r="C63" s="49">
        <f>SUM(C52:C62)</f>
        <v>1688228.875</v>
      </c>
      <c r="D63" s="49">
        <f>SUM(D52:D62)</f>
        <v>3297422.3296875</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row>
    <row r="64" spans="1:76" ht="12.75" customHeight="1">
      <c r="A64" s="46"/>
      <c r="B64" s="46"/>
      <c r="C64" s="46"/>
      <c r="D64" s="46"/>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row>
    <row r="65" spans="1:76" ht="12.75" customHeight="1">
      <c r="A65" s="302" t="s">
        <v>286</v>
      </c>
      <c r="B65" s="46"/>
      <c r="C65" s="46"/>
      <c r="D65" s="46"/>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row>
    <row r="66" spans="1:76" ht="12.75" customHeight="1">
      <c r="A66" s="316" t="s">
        <v>287</v>
      </c>
      <c r="B66" s="49">
        <f>'Expenses- B-to-B'!D57</f>
        <v>103495</v>
      </c>
      <c r="C66" s="49">
        <f>'Expenses- B-to-B'!E57</f>
        <v>169145</v>
      </c>
      <c r="D66" s="49">
        <f>'Expenses- B-to-B'!F57</f>
        <v>241947.5</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row>
    <row r="67" spans="1:76" ht="12.75" customHeight="1">
      <c r="A67" s="316" t="s">
        <v>276</v>
      </c>
      <c r="B67" s="49">
        <f>'Expenses- B-to-B'!D83</f>
        <v>223000</v>
      </c>
      <c r="C67" s="49">
        <f>'Expenses- B-to-B'!E83</f>
        <v>284000</v>
      </c>
      <c r="D67" s="49">
        <f>'Expenses- B-to-B'!F83</f>
        <v>347270</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row>
    <row r="68" spans="1:76" ht="12.75" customHeight="1">
      <c r="A68" s="316" t="s">
        <v>288</v>
      </c>
      <c r="B68" s="49">
        <f>'Expenses- B-to-B'!D105</f>
        <v>215000</v>
      </c>
      <c r="C68" s="49">
        <f>'Expenses- B-to-B'!E105</f>
        <v>168100</v>
      </c>
      <c r="D68" s="49">
        <f>'Expenses- B-to-B'!F105</f>
        <v>171262</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row>
    <row r="69" spans="1:76" ht="12.75" customHeight="1">
      <c r="A69" s="316" t="s">
        <v>175</v>
      </c>
      <c r="B69" s="49">
        <f>'Expenses- B-to-B'!D126</f>
        <v>0</v>
      </c>
      <c r="C69" s="49">
        <f>'Expenses- B-to-B'!E126</f>
        <v>0</v>
      </c>
      <c r="D69" s="49">
        <f>'Expenses- B-to-B'!F126</f>
        <v>0</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row>
    <row r="70" spans="1:76" ht="12.75" customHeight="1">
      <c r="A70" s="316" t="s">
        <v>176</v>
      </c>
      <c r="B70" s="49">
        <f>'Expenses- B-to-B'!D161</f>
        <v>0</v>
      </c>
      <c r="C70" s="49">
        <f>'Expenses- B-to-B'!E161</f>
        <v>196450</v>
      </c>
      <c r="D70" s="49">
        <f>'Expenses- B-to-B'!F161</f>
        <v>174850</v>
      </c>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row>
    <row r="71" spans="1:76" ht="12.75" customHeight="1">
      <c r="A71" s="316" t="s">
        <v>177</v>
      </c>
      <c r="B71" s="49">
        <f>'Expenses- B-to-B'!D179</f>
        <v>0</v>
      </c>
      <c r="C71" s="49">
        <f>'Expenses- B-to-B'!E179</f>
        <v>41000</v>
      </c>
      <c r="D71" s="49">
        <f>'Expenses- B-to-B'!F179</f>
        <v>54000</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row>
    <row r="72" spans="1:76" ht="12.75" customHeight="1">
      <c r="A72" s="316" t="s">
        <v>178</v>
      </c>
      <c r="B72" s="49">
        <f>'Expenses- B-to-B'!D200</f>
        <v>0</v>
      </c>
      <c r="C72" s="49">
        <f>'Expenses- B-to-B'!E200</f>
        <v>0</v>
      </c>
      <c r="D72" s="49">
        <f>'Expenses- B-to-B'!F200</f>
        <v>0</v>
      </c>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row>
    <row r="73" spans="1:76" s="52" customFormat="1" ht="12.75" customHeight="1">
      <c r="A73" s="317" t="s">
        <v>179</v>
      </c>
      <c r="B73" s="49">
        <f>'Expenses- B-to-B'!D219</f>
        <v>0</v>
      </c>
      <c r="C73" s="49">
        <f>'Expenses- B-to-B'!E219</f>
        <v>0</v>
      </c>
      <c r="D73" s="49">
        <f>'Expenses- B-to-B'!F219</f>
        <v>0</v>
      </c>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row>
    <row r="74" spans="1:76" ht="12.75" customHeight="1">
      <c r="A74" s="223" t="s">
        <v>285</v>
      </c>
      <c r="B74" s="49">
        <f>SUM(B66:B73)</f>
        <v>541495</v>
      </c>
      <c r="C74" s="49">
        <f>SUM(C66:C73)</f>
        <v>858695</v>
      </c>
      <c r="D74" s="49">
        <f>SUM(D66:D73)</f>
        <v>989329.5</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row>
    <row r="75" spans="1:76" s="52" customFormat="1" ht="12.75" customHeight="1">
      <c r="A75" s="46"/>
      <c r="B75" s="46"/>
      <c r="C75" s="46"/>
      <c r="D75" s="46"/>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row>
    <row r="76" spans="1:76" ht="12.75" customHeight="1">
      <c r="A76" s="36" t="s">
        <v>114</v>
      </c>
      <c r="B76" s="304">
        <f>B49+B63+B74</f>
        <v>5532795</v>
      </c>
      <c r="C76" s="304">
        <f>C49+C63+C74</f>
        <v>7927823.875</v>
      </c>
      <c r="D76" s="304">
        <f>D49+D63+D74</f>
        <v>10490457.829687499</v>
      </c>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row>
    <row r="77" spans="1:76" ht="12.75" customHeight="1">
      <c r="A77" s="319" t="s">
        <v>0</v>
      </c>
      <c r="B77" s="320">
        <f>B76/B45</f>
        <v>1.117391895053541</v>
      </c>
      <c r="C77" s="320">
        <f>C76/C45</f>
        <v>0.6983626690594474</v>
      </c>
      <c r="D77" s="320">
        <f>D76/D45</f>
        <v>0.5167239288572744</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row>
    <row r="78" spans="5:76" ht="12.7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row>
    <row r="79" spans="1:76" ht="13.5" customHeight="1">
      <c r="A79" s="27" t="s">
        <v>103</v>
      </c>
      <c r="B79" s="322">
        <f>SUM(B45-B76)</f>
        <v>-581269.018388249</v>
      </c>
      <c r="C79" s="322">
        <f>SUM(C45-C76)</f>
        <v>3424191.669698527</v>
      </c>
      <c r="D79" s="322">
        <f>SUM(D45-D76)</f>
        <v>9811404.042447891</v>
      </c>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row>
    <row r="80" spans="1:4" s="45" customFormat="1" ht="13.5" customHeight="1">
      <c r="A80" s="323" t="s">
        <v>102</v>
      </c>
      <c r="B80" s="321">
        <f>B79/B45</f>
        <v>-0.11739189505354114</v>
      </c>
      <c r="C80" s="321">
        <f>C79/C45</f>
        <v>0.3016373309405526</v>
      </c>
      <c r="D80" s="321">
        <f>D79/D45</f>
        <v>0.4832760711427256</v>
      </c>
    </row>
    <row r="81" spans="1:76" ht="12.75">
      <c r="A81" s="45"/>
      <c r="B81" s="165"/>
      <c r="C81" s="165"/>
      <c r="D81" s="16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row>
    <row r="82" spans="1:76" ht="12.75">
      <c r="A82" s="27" t="s">
        <v>104</v>
      </c>
      <c r="B82" s="28"/>
      <c r="C82" s="322">
        <f>B79+C79</f>
        <v>2842922.651310278</v>
      </c>
      <c r="D82" s="322">
        <f>C82+D79</f>
        <v>12654326.69375817</v>
      </c>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row>
    <row r="83" spans="5:76" ht="12.7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row>
    <row r="84" spans="1:76" ht="12.75">
      <c r="A84" s="223" t="s">
        <v>1</v>
      </c>
      <c r="B84" s="324">
        <v>0</v>
      </c>
      <c r="C84" s="324">
        <v>0</v>
      </c>
      <c r="D84" s="324">
        <v>0</v>
      </c>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row>
    <row r="85" spans="2:76" ht="12.75">
      <c r="B85" s="223"/>
      <c r="C85" s="223"/>
      <c r="D85" s="223"/>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row>
    <row r="86" spans="1:76" ht="12.75">
      <c r="A86" s="223" t="s">
        <v>3</v>
      </c>
      <c r="B86" s="224">
        <f>'Expenses - Website'!E54*Staffing!B87</f>
        <v>60000</v>
      </c>
      <c r="C86" s="224">
        <f>'Expenses - Website'!F54*Staffing!C87</f>
        <v>70500</v>
      </c>
      <c r="D86" s="224">
        <f>'Expenses - Website'!G54*Staffing!D87</f>
        <v>81000</v>
      </c>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row>
    <row r="88" spans="1:4" ht="12.75">
      <c r="A88" s="325" t="s">
        <v>4</v>
      </c>
      <c r="B88" s="227">
        <f>B79</f>
        <v>-581269.018388249</v>
      </c>
      <c r="C88" s="227">
        <f>C79</f>
        <v>3424191.669698527</v>
      </c>
      <c r="D88" s="227">
        <f>D79</f>
        <v>9811404.042447891</v>
      </c>
    </row>
    <row r="89" spans="1:4" ht="12.75">
      <c r="A89" s="325"/>
      <c r="B89" s="223"/>
      <c r="C89" s="223"/>
      <c r="D89" s="223"/>
    </row>
    <row r="90" spans="1:4" ht="12.75">
      <c r="A90" s="325" t="s">
        <v>5</v>
      </c>
      <c r="B90" s="224">
        <f>B88*0.4</f>
        <v>-232507.6073552996</v>
      </c>
      <c r="C90" s="224">
        <f>C88*0.4</f>
        <v>1369676.667879411</v>
      </c>
      <c r="D90" s="224">
        <f>D88*0.4</f>
        <v>3924561.6169791566</v>
      </c>
    </row>
    <row r="91" spans="1:4" ht="12.75">
      <c r="A91" s="325"/>
      <c r="B91" s="223"/>
      <c r="C91" s="223"/>
      <c r="D91" s="223"/>
    </row>
    <row r="92" spans="1:4" ht="12.75">
      <c r="A92" s="325" t="s">
        <v>6</v>
      </c>
      <c r="B92" s="227">
        <f>B88-B90</f>
        <v>-348761.41103294934</v>
      </c>
      <c r="C92" s="227">
        <f>C88-C90</f>
        <v>2054515.001819116</v>
      </c>
      <c r="D92" s="227">
        <f>D88-D90</f>
        <v>5886842.425468734</v>
      </c>
    </row>
    <row r="93" spans="1:4" ht="12.75">
      <c r="A93" s="326" t="s">
        <v>7</v>
      </c>
      <c r="B93" s="327">
        <f>B92/B45</f>
        <v>-0.07043513703212467</v>
      </c>
      <c r="C93" s="327">
        <f>C92/C45</f>
        <v>0.18098239856433154</v>
      </c>
      <c r="D93" s="327">
        <f>D92/D45</f>
        <v>0.28996564268563535</v>
      </c>
    </row>
    <row r="94" spans="2:4" ht="12.75">
      <c r="B94" s="223"/>
      <c r="C94" s="223"/>
      <c r="D94" s="223"/>
    </row>
  </sheetData>
  <mergeCells count="1">
    <mergeCell ref="A2:D2"/>
  </mergeCells>
  <printOptions/>
  <pageMargins left="0.5" right="0.5" top="0.75" bottom="0.75"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2:AS135"/>
  <sheetViews>
    <sheetView zoomScale="110" zoomScaleNormal="110" workbookViewId="0" topLeftCell="A1">
      <selection activeCell="I127" sqref="I127"/>
    </sheetView>
  </sheetViews>
  <sheetFormatPr defaultColWidth="11.421875" defaultRowHeight="12.75"/>
  <cols>
    <col min="1" max="1" width="3.140625" style="25" customWidth="1"/>
    <col min="2" max="2" width="29.7109375" style="25" customWidth="1"/>
    <col min="3" max="3" width="12.7109375" style="25" customWidth="1"/>
    <col min="4" max="4" width="12.140625" style="25" customWidth="1"/>
    <col min="5" max="5" width="12.28125" style="25" customWidth="1"/>
    <col min="6" max="6" width="33.7109375" style="25" customWidth="1"/>
    <col min="7" max="7" width="4.421875" style="25" customWidth="1"/>
    <col min="8" max="8" width="11.710937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2" spans="1:43" ht="12.75">
      <c r="A2" s="270" t="s">
        <v>245</v>
      </c>
      <c r="B2" s="231"/>
      <c r="C2" s="328" t="s">
        <v>319</v>
      </c>
      <c r="D2" s="328" t="s">
        <v>320</v>
      </c>
      <c r="E2" s="328" t="s">
        <v>321</v>
      </c>
      <c r="F2" s="329" t="s">
        <v>330</v>
      </c>
      <c r="H2" s="53" t="s">
        <v>319</v>
      </c>
      <c r="I2" s="54"/>
      <c r="J2" s="54"/>
      <c r="K2" s="54"/>
      <c r="L2" s="54"/>
      <c r="M2" s="54"/>
      <c r="N2" s="54"/>
      <c r="O2" s="54"/>
      <c r="P2" s="54"/>
      <c r="Q2" s="54"/>
      <c r="R2" s="54"/>
      <c r="S2" s="39"/>
      <c r="T2" s="53" t="s">
        <v>320</v>
      </c>
      <c r="U2" s="54"/>
      <c r="V2" s="54"/>
      <c r="W2" s="54"/>
      <c r="X2" s="54"/>
      <c r="Y2" s="54"/>
      <c r="Z2" s="54"/>
      <c r="AA2" s="54"/>
      <c r="AB2" s="54"/>
      <c r="AC2" s="54"/>
      <c r="AD2" s="54"/>
      <c r="AE2" s="39"/>
      <c r="AF2" s="53" t="s">
        <v>321</v>
      </c>
      <c r="AG2" s="54"/>
      <c r="AH2" s="54"/>
      <c r="AI2" s="54"/>
      <c r="AJ2" s="54"/>
      <c r="AK2" s="54"/>
      <c r="AL2" s="54"/>
      <c r="AM2" s="54"/>
      <c r="AN2" s="54"/>
      <c r="AO2" s="54"/>
      <c r="AP2" s="54"/>
      <c r="AQ2" s="39"/>
    </row>
    <row r="3" spans="1:43" ht="12.75">
      <c r="A3" s="32"/>
      <c r="B3" s="26"/>
      <c r="C3" s="26"/>
      <c r="D3" s="26"/>
      <c r="E3" s="26"/>
      <c r="F3" s="108"/>
      <c r="H3" s="40" t="s">
        <v>323</v>
      </c>
      <c r="I3" s="41" t="s">
        <v>324</v>
      </c>
      <c r="J3" s="41" t="s">
        <v>325</v>
      </c>
      <c r="K3" s="41" t="s">
        <v>326</v>
      </c>
      <c r="L3" s="41" t="s">
        <v>130</v>
      </c>
      <c r="M3" s="41" t="s">
        <v>131</v>
      </c>
      <c r="N3" s="41" t="s">
        <v>132</v>
      </c>
      <c r="O3" s="41" t="s">
        <v>133</v>
      </c>
      <c r="P3" s="41" t="s">
        <v>134</v>
      </c>
      <c r="Q3" s="41" t="s">
        <v>135</v>
      </c>
      <c r="R3" s="41" t="s">
        <v>136</v>
      </c>
      <c r="S3" s="41" t="s">
        <v>137</v>
      </c>
      <c r="T3" s="41" t="s">
        <v>323</v>
      </c>
      <c r="U3" s="41" t="s">
        <v>324</v>
      </c>
      <c r="V3" s="41" t="s">
        <v>325</v>
      </c>
      <c r="W3" s="41" t="s">
        <v>326</v>
      </c>
      <c r="X3" s="41" t="s">
        <v>130</v>
      </c>
      <c r="Y3" s="41" t="s">
        <v>131</v>
      </c>
      <c r="Z3" s="41" t="s">
        <v>132</v>
      </c>
      <c r="AA3" s="41" t="s">
        <v>133</v>
      </c>
      <c r="AB3" s="41" t="s">
        <v>134</v>
      </c>
      <c r="AC3" s="41" t="s">
        <v>135</v>
      </c>
      <c r="AD3" s="41" t="s">
        <v>136</v>
      </c>
      <c r="AE3" s="41" t="s">
        <v>137</v>
      </c>
      <c r="AF3" s="43" t="s">
        <v>323</v>
      </c>
      <c r="AG3" s="43" t="s">
        <v>324</v>
      </c>
      <c r="AH3" s="43" t="s">
        <v>325</v>
      </c>
      <c r="AI3" s="43" t="s">
        <v>326</v>
      </c>
      <c r="AJ3" s="43" t="s">
        <v>130</v>
      </c>
      <c r="AK3" s="43" t="s">
        <v>131</v>
      </c>
      <c r="AL3" s="43" t="s">
        <v>132</v>
      </c>
      <c r="AM3" s="43" t="s">
        <v>133</v>
      </c>
      <c r="AN3" s="43" t="s">
        <v>134</v>
      </c>
      <c r="AO3" s="43" t="s">
        <v>135</v>
      </c>
      <c r="AP3" s="43" t="s">
        <v>136</v>
      </c>
      <c r="AQ3" s="106" t="s">
        <v>137</v>
      </c>
    </row>
    <row r="4" spans="1:43" ht="12.75">
      <c r="A4" s="32" t="s">
        <v>287</v>
      </c>
      <c r="B4" s="156"/>
      <c r="C4" s="23">
        <f>C39</f>
        <v>824905</v>
      </c>
      <c r="D4" s="23">
        <f>D39</f>
        <v>939255</v>
      </c>
      <c r="E4" s="23">
        <f>E39</f>
        <v>956452.5</v>
      </c>
      <c r="F4" s="108" t="str">
        <f>'Revenue - B-to-B'!F4</f>
        <v>year 1 launch</v>
      </c>
      <c r="H4" s="111">
        <f>C4/12</f>
        <v>68742.08333333333</v>
      </c>
      <c r="I4" s="23">
        <f aca="true" t="shared" si="0" ref="I4:S4">$C$4/12</f>
        <v>68742.08333333333</v>
      </c>
      <c r="J4" s="23">
        <f t="shared" si="0"/>
        <v>68742.08333333333</v>
      </c>
      <c r="K4" s="23">
        <f t="shared" si="0"/>
        <v>68742.08333333333</v>
      </c>
      <c r="L4" s="23">
        <f t="shared" si="0"/>
        <v>68742.08333333333</v>
      </c>
      <c r="M4" s="23">
        <f t="shared" si="0"/>
        <v>68742.08333333333</v>
      </c>
      <c r="N4" s="23">
        <f t="shared" si="0"/>
        <v>68742.08333333333</v>
      </c>
      <c r="O4" s="23">
        <f t="shared" si="0"/>
        <v>68742.08333333333</v>
      </c>
      <c r="P4" s="23">
        <f t="shared" si="0"/>
        <v>68742.08333333333</v>
      </c>
      <c r="Q4" s="23">
        <f t="shared" si="0"/>
        <v>68742.08333333333</v>
      </c>
      <c r="R4" s="23">
        <f t="shared" si="0"/>
        <v>68742.08333333333</v>
      </c>
      <c r="S4" s="23">
        <f t="shared" si="0"/>
        <v>68742.08333333333</v>
      </c>
      <c r="T4" s="23">
        <f aca="true" t="shared" si="1" ref="T4:AE4">$D$4/12</f>
        <v>78271.25</v>
      </c>
      <c r="U4" s="23">
        <f t="shared" si="1"/>
        <v>78271.25</v>
      </c>
      <c r="V4" s="23">
        <f t="shared" si="1"/>
        <v>78271.25</v>
      </c>
      <c r="W4" s="23">
        <f t="shared" si="1"/>
        <v>78271.25</v>
      </c>
      <c r="X4" s="23">
        <f t="shared" si="1"/>
        <v>78271.25</v>
      </c>
      <c r="Y4" s="23">
        <f t="shared" si="1"/>
        <v>78271.25</v>
      </c>
      <c r="Z4" s="23">
        <f t="shared" si="1"/>
        <v>78271.25</v>
      </c>
      <c r="AA4" s="23">
        <f t="shared" si="1"/>
        <v>78271.25</v>
      </c>
      <c r="AB4" s="23">
        <f t="shared" si="1"/>
        <v>78271.25</v>
      </c>
      <c r="AC4" s="23">
        <f t="shared" si="1"/>
        <v>78271.25</v>
      </c>
      <c r="AD4" s="23">
        <f t="shared" si="1"/>
        <v>78271.25</v>
      </c>
      <c r="AE4" s="23">
        <f t="shared" si="1"/>
        <v>78271.25</v>
      </c>
      <c r="AF4" s="23">
        <f aca="true" t="shared" si="2" ref="AF4:AQ4">$E$4/12</f>
        <v>79704.375</v>
      </c>
      <c r="AG4" s="23">
        <f t="shared" si="2"/>
        <v>79704.375</v>
      </c>
      <c r="AH4" s="23">
        <f t="shared" si="2"/>
        <v>79704.375</v>
      </c>
      <c r="AI4" s="23">
        <f t="shared" si="2"/>
        <v>79704.375</v>
      </c>
      <c r="AJ4" s="23">
        <f t="shared" si="2"/>
        <v>79704.375</v>
      </c>
      <c r="AK4" s="23">
        <f t="shared" si="2"/>
        <v>79704.375</v>
      </c>
      <c r="AL4" s="23">
        <f t="shared" si="2"/>
        <v>79704.375</v>
      </c>
      <c r="AM4" s="23">
        <f t="shared" si="2"/>
        <v>79704.375</v>
      </c>
      <c r="AN4" s="23">
        <f t="shared" si="2"/>
        <v>79704.375</v>
      </c>
      <c r="AO4" s="23">
        <f t="shared" si="2"/>
        <v>79704.375</v>
      </c>
      <c r="AP4" s="23">
        <f t="shared" si="2"/>
        <v>79704.375</v>
      </c>
      <c r="AQ4" s="112">
        <f t="shared" si="2"/>
        <v>79704.375</v>
      </c>
    </row>
    <row r="5" spans="1:43" ht="12.75">
      <c r="A5" s="32"/>
      <c r="B5" s="156"/>
      <c r="C5" s="26"/>
      <c r="D5" s="26"/>
      <c r="E5" s="26"/>
      <c r="F5" s="108"/>
      <c r="H5" s="32"/>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108"/>
    </row>
    <row r="6" spans="1:45" ht="12.75">
      <c r="A6" s="32" t="s">
        <v>430</v>
      </c>
      <c r="B6" s="26"/>
      <c r="C6" s="23">
        <f>C53</f>
        <v>519500</v>
      </c>
      <c r="D6" s="23">
        <f>D53</f>
        <v>706000</v>
      </c>
      <c r="E6" s="23">
        <f>E53</f>
        <v>890230</v>
      </c>
      <c r="F6" s="108" t="str">
        <f>'Revenue - B-to-B'!F6</f>
        <v>year 1 launch</v>
      </c>
      <c r="H6" s="111">
        <f>C6/12</f>
        <v>43291.666666666664</v>
      </c>
      <c r="I6" s="23">
        <f aca="true" t="shared" si="3" ref="I6:S6">$C$6/12</f>
        <v>43291.666666666664</v>
      </c>
      <c r="J6" s="23">
        <f t="shared" si="3"/>
        <v>43291.666666666664</v>
      </c>
      <c r="K6" s="23">
        <f t="shared" si="3"/>
        <v>43291.666666666664</v>
      </c>
      <c r="L6" s="23">
        <f t="shared" si="3"/>
        <v>43291.666666666664</v>
      </c>
      <c r="M6" s="23">
        <f t="shared" si="3"/>
        <v>43291.666666666664</v>
      </c>
      <c r="N6" s="23">
        <f t="shared" si="3"/>
        <v>43291.666666666664</v>
      </c>
      <c r="O6" s="23">
        <f t="shared" si="3"/>
        <v>43291.666666666664</v>
      </c>
      <c r="P6" s="23">
        <f t="shared" si="3"/>
        <v>43291.666666666664</v>
      </c>
      <c r="Q6" s="23">
        <f t="shared" si="3"/>
        <v>43291.666666666664</v>
      </c>
      <c r="R6" s="23">
        <f t="shared" si="3"/>
        <v>43291.666666666664</v>
      </c>
      <c r="S6" s="23">
        <f t="shared" si="3"/>
        <v>43291.666666666664</v>
      </c>
      <c r="T6" s="23">
        <f aca="true" t="shared" si="4" ref="T6:AE6">$D$6/12</f>
        <v>58833.333333333336</v>
      </c>
      <c r="U6" s="23">
        <f t="shared" si="4"/>
        <v>58833.333333333336</v>
      </c>
      <c r="V6" s="23">
        <f t="shared" si="4"/>
        <v>58833.333333333336</v>
      </c>
      <c r="W6" s="23">
        <f t="shared" si="4"/>
        <v>58833.333333333336</v>
      </c>
      <c r="X6" s="23">
        <f t="shared" si="4"/>
        <v>58833.333333333336</v>
      </c>
      <c r="Y6" s="23">
        <f t="shared" si="4"/>
        <v>58833.333333333336</v>
      </c>
      <c r="Z6" s="23">
        <f t="shared" si="4"/>
        <v>58833.333333333336</v>
      </c>
      <c r="AA6" s="23">
        <f t="shared" si="4"/>
        <v>58833.333333333336</v>
      </c>
      <c r="AB6" s="23">
        <f t="shared" si="4"/>
        <v>58833.333333333336</v>
      </c>
      <c r="AC6" s="23">
        <f t="shared" si="4"/>
        <v>58833.333333333336</v>
      </c>
      <c r="AD6" s="23">
        <f t="shared" si="4"/>
        <v>58833.333333333336</v>
      </c>
      <c r="AE6" s="23">
        <f t="shared" si="4"/>
        <v>58833.333333333336</v>
      </c>
      <c r="AF6" s="23">
        <f aca="true" t="shared" si="5" ref="AF6:AQ6">$E$6/12</f>
        <v>74185.83333333333</v>
      </c>
      <c r="AG6" s="23">
        <f t="shared" si="5"/>
        <v>74185.83333333333</v>
      </c>
      <c r="AH6" s="23">
        <f t="shared" si="5"/>
        <v>74185.83333333333</v>
      </c>
      <c r="AI6" s="23">
        <f t="shared" si="5"/>
        <v>74185.83333333333</v>
      </c>
      <c r="AJ6" s="23">
        <f t="shared" si="5"/>
        <v>74185.83333333333</v>
      </c>
      <c r="AK6" s="23">
        <f t="shared" si="5"/>
        <v>74185.83333333333</v>
      </c>
      <c r="AL6" s="23">
        <f t="shared" si="5"/>
        <v>74185.83333333333</v>
      </c>
      <c r="AM6" s="23">
        <f t="shared" si="5"/>
        <v>74185.83333333333</v>
      </c>
      <c r="AN6" s="23">
        <f t="shared" si="5"/>
        <v>74185.83333333333</v>
      </c>
      <c r="AO6" s="23">
        <f t="shared" si="5"/>
        <v>74185.83333333333</v>
      </c>
      <c r="AP6" s="23">
        <f t="shared" si="5"/>
        <v>74185.83333333333</v>
      </c>
      <c r="AQ6" s="112">
        <f t="shared" si="5"/>
        <v>74185.83333333333</v>
      </c>
      <c r="AR6" s="157"/>
      <c r="AS6" s="157"/>
    </row>
    <row r="7" spans="1:45" ht="12.75">
      <c r="A7" s="32"/>
      <c r="B7" s="26"/>
      <c r="C7" s="23"/>
      <c r="D7" s="23"/>
      <c r="E7" s="23"/>
      <c r="F7" s="108"/>
      <c r="H7" s="111"/>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112"/>
      <c r="AR7" s="157"/>
      <c r="AS7" s="157"/>
    </row>
    <row r="8" spans="1:43" ht="12.75">
      <c r="A8" s="32" t="s">
        <v>288</v>
      </c>
      <c r="B8" s="26"/>
      <c r="C8" s="23">
        <f>C67</f>
        <v>110144.56140350876</v>
      </c>
      <c r="D8" s="23">
        <f>D67</f>
        <v>190209.4736842105</v>
      </c>
      <c r="E8" s="23">
        <f>E67</f>
        <v>238940.80701754382</v>
      </c>
      <c r="F8" s="108" t="str">
        <f>'Revenue - B-to-B'!F8</f>
        <v>year 1 launch</v>
      </c>
      <c r="H8" s="111">
        <f>C8/12</f>
        <v>9178.713450292396</v>
      </c>
      <c r="I8" s="23">
        <f aca="true" t="shared" si="6" ref="I8:S8">$C$8/12</f>
        <v>9178.713450292396</v>
      </c>
      <c r="J8" s="23">
        <f t="shared" si="6"/>
        <v>9178.713450292396</v>
      </c>
      <c r="K8" s="23">
        <f t="shared" si="6"/>
        <v>9178.713450292396</v>
      </c>
      <c r="L8" s="23">
        <f t="shared" si="6"/>
        <v>9178.713450292396</v>
      </c>
      <c r="M8" s="23">
        <f t="shared" si="6"/>
        <v>9178.713450292396</v>
      </c>
      <c r="N8" s="23">
        <f t="shared" si="6"/>
        <v>9178.713450292396</v>
      </c>
      <c r="O8" s="23">
        <f t="shared" si="6"/>
        <v>9178.713450292396</v>
      </c>
      <c r="P8" s="23">
        <f t="shared" si="6"/>
        <v>9178.713450292396</v>
      </c>
      <c r="Q8" s="23">
        <f t="shared" si="6"/>
        <v>9178.713450292396</v>
      </c>
      <c r="R8" s="23">
        <f t="shared" si="6"/>
        <v>9178.713450292396</v>
      </c>
      <c r="S8" s="23">
        <f t="shared" si="6"/>
        <v>9178.713450292396</v>
      </c>
      <c r="T8" s="23">
        <f aca="true" t="shared" si="7" ref="T8:AE8">$D$8/12</f>
        <v>15850.789473684208</v>
      </c>
      <c r="U8" s="23">
        <f t="shared" si="7"/>
        <v>15850.789473684208</v>
      </c>
      <c r="V8" s="23">
        <f t="shared" si="7"/>
        <v>15850.789473684208</v>
      </c>
      <c r="W8" s="23">
        <f t="shared" si="7"/>
        <v>15850.789473684208</v>
      </c>
      <c r="X8" s="23">
        <f t="shared" si="7"/>
        <v>15850.789473684208</v>
      </c>
      <c r="Y8" s="23">
        <f t="shared" si="7"/>
        <v>15850.789473684208</v>
      </c>
      <c r="Z8" s="23">
        <f t="shared" si="7"/>
        <v>15850.789473684208</v>
      </c>
      <c r="AA8" s="23">
        <f t="shared" si="7"/>
        <v>15850.789473684208</v>
      </c>
      <c r="AB8" s="23">
        <f t="shared" si="7"/>
        <v>15850.789473684208</v>
      </c>
      <c r="AC8" s="23">
        <f t="shared" si="7"/>
        <v>15850.789473684208</v>
      </c>
      <c r="AD8" s="23">
        <f t="shared" si="7"/>
        <v>15850.789473684208</v>
      </c>
      <c r="AE8" s="23">
        <f t="shared" si="7"/>
        <v>15850.789473684208</v>
      </c>
      <c r="AF8" s="23">
        <f aca="true" t="shared" si="8" ref="AF8:AQ8">$E$8/12</f>
        <v>19911.73391812865</v>
      </c>
      <c r="AG8" s="23">
        <f t="shared" si="8"/>
        <v>19911.73391812865</v>
      </c>
      <c r="AH8" s="23">
        <f t="shared" si="8"/>
        <v>19911.73391812865</v>
      </c>
      <c r="AI8" s="23">
        <f t="shared" si="8"/>
        <v>19911.73391812865</v>
      </c>
      <c r="AJ8" s="23">
        <f t="shared" si="8"/>
        <v>19911.73391812865</v>
      </c>
      <c r="AK8" s="23">
        <f t="shared" si="8"/>
        <v>19911.73391812865</v>
      </c>
      <c r="AL8" s="23">
        <f t="shared" si="8"/>
        <v>19911.73391812865</v>
      </c>
      <c r="AM8" s="23">
        <f t="shared" si="8"/>
        <v>19911.73391812865</v>
      </c>
      <c r="AN8" s="23">
        <f t="shared" si="8"/>
        <v>19911.73391812865</v>
      </c>
      <c r="AO8" s="23">
        <f t="shared" si="8"/>
        <v>19911.73391812865</v>
      </c>
      <c r="AP8" s="23">
        <f t="shared" si="8"/>
        <v>19911.73391812865</v>
      </c>
      <c r="AQ8" s="112">
        <f t="shared" si="8"/>
        <v>19911.73391812865</v>
      </c>
    </row>
    <row r="9" spans="1:43" ht="12.7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3" ht="12.75">
      <c r="A10" s="32" t="s">
        <v>175</v>
      </c>
      <c r="B10" s="26"/>
      <c r="C10" s="23">
        <f>C83</f>
        <v>0</v>
      </c>
      <c r="D10" s="23">
        <f>D83</f>
        <v>0</v>
      </c>
      <c r="E10" s="23">
        <f>E83</f>
        <v>0</v>
      </c>
      <c r="F10" s="108" t="str">
        <f>'Revenue - B-to-B'!F10</f>
        <v>Don't do due to strong competition</v>
      </c>
      <c r="H10" s="111">
        <f>C10/12</f>
        <v>0</v>
      </c>
      <c r="I10" s="23">
        <f aca="true" t="shared" si="9" ref="I10:S10">$C$10/12</f>
        <v>0</v>
      </c>
      <c r="J10" s="23">
        <f t="shared" si="9"/>
        <v>0</v>
      </c>
      <c r="K10" s="23">
        <f t="shared" si="9"/>
        <v>0</v>
      </c>
      <c r="L10" s="23">
        <f t="shared" si="9"/>
        <v>0</v>
      </c>
      <c r="M10" s="23">
        <f t="shared" si="9"/>
        <v>0</v>
      </c>
      <c r="N10" s="23">
        <f t="shared" si="9"/>
        <v>0</v>
      </c>
      <c r="O10" s="23">
        <f t="shared" si="9"/>
        <v>0</v>
      </c>
      <c r="P10" s="23">
        <f t="shared" si="9"/>
        <v>0</v>
      </c>
      <c r="Q10" s="23">
        <f t="shared" si="9"/>
        <v>0</v>
      </c>
      <c r="R10" s="23">
        <f t="shared" si="9"/>
        <v>0</v>
      </c>
      <c r="S10" s="23">
        <f t="shared" si="9"/>
        <v>0</v>
      </c>
      <c r="T10" s="23">
        <f aca="true" t="shared" si="10" ref="T10:AE10">$D$10/12</f>
        <v>0</v>
      </c>
      <c r="U10" s="23">
        <f t="shared" si="10"/>
        <v>0</v>
      </c>
      <c r="V10" s="23">
        <f t="shared" si="10"/>
        <v>0</v>
      </c>
      <c r="W10" s="23">
        <f t="shared" si="10"/>
        <v>0</v>
      </c>
      <c r="X10" s="23">
        <f t="shared" si="10"/>
        <v>0</v>
      </c>
      <c r="Y10" s="23">
        <f t="shared" si="10"/>
        <v>0</v>
      </c>
      <c r="Z10" s="23">
        <f t="shared" si="10"/>
        <v>0</v>
      </c>
      <c r="AA10" s="23">
        <f t="shared" si="10"/>
        <v>0</v>
      </c>
      <c r="AB10" s="23">
        <f t="shared" si="10"/>
        <v>0</v>
      </c>
      <c r="AC10" s="23">
        <f t="shared" si="10"/>
        <v>0</v>
      </c>
      <c r="AD10" s="23">
        <f t="shared" si="10"/>
        <v>0</v>
      </c>
      <c r="AE10" s="23">
        <f t="shared" si="10"/>
        <v>0</v>
      </c>
      <c r="AF10" s="23">
        <f aca="true" t="shared" si="11" ref="AF10:AQ10">$E$10/12</f>
        <v>0</v>
      </c>
      <c r="AG10" s="23">
        <f t="shared" si="11"/>
        <v>0</v>
      </c>
      <c r="AH10" s="23">
        <f t="shared" si="11"/>
        <v>0</v>
      </c>
      <c r="AI10" s="23">
        <f t="shared" si="11"/>
        <v>0</v>
      </c>
      <c r="AJ10" s="23">
        <f t="shared" si="11"/>
        <v>0</v>
      </c>
      <c r="AK10" s="23">
        <f t="shared" si="11"/>
        <v>0</v>
      </c>
      <c r="AL10" s="23">
        <f t="shared" si="11"/>
        <v>0</v>
      </c>
      <c r="AM10" s="23">
        <f t="shared" si="11"/>
        <v>0</v>
      </c>
      <c r="AN10" s="23">
        <f t="shared" si="11"/>
        <v>0</v>
      </c>
      <c r="AO10" s="23">
        <f t="shared" si="11"/>
        <v>0</v>
      </c>
      <c r="AP10" s="23">
        <f t="shared" si="11"/>
        <v>0</v>
      </c>
      <c r="AQ10" s="112">
        <f t="shared" si="11"/>
        <v>0</v>
      </c>
    </row>
    <row r="11" spans="1:43" ht="12.75">
      <c r="A11" s="32"/>
      <c r="B11" s="26"/>
      <c r="C11" s="37"/>
      <c r="D11" s="37"/>
      <c r="E11" s="37"/>
      <c r="F11" s="108"/>
      <c r="H11" s="154"/>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155"/>
    </row>
    <row r="12" spans="1:45" ht="12.75">
      <c r="A12" s="32" t="s">
        <v>176</v>
      </c>
      <c r="B12" s="26"/>
      <c r="C12" s="23">
        <f>C96</f>
        <v>0</v>
      </c>
      <c r="D12" s="23">
        <f>D96</f>
        <v>67550</v>
      </c>
      <c r="E12" s="23">
        <f>E96</f>
        <v>305150</v>
      </c>
      <c r="F12" s="108" t="str">
        <f>'Revenue - B-to-B'!F12</f>
        <v>year 2 launch</v>
      </c>
      <c r="H12" s="111">
        <f>C12/12</f>
        <v>0</v>
      </c>
      <c r="I12" s="23">
        <f aca="true" t="shared" si="12" ref="I12:S12">$C$12/12</f>
        <v>0</v>
      </c>
      <c r="J12" s="23">
        <f t="shared" si="12"/>
        <v>0</v>
      </c>
      <c r="K12" s="23">
        <f t="shared" si="12"/>
        <v>0</v>
      </c>
      <c r="L12" s="23">
        <f t="shared" si="12"/>
        <v>0</v>
      </c>
      <c r="M12" s="23">
        <f t="shared" si="12"/>
        <v>0</v>
      </c>
      <c r="N12" s="23">
        <f t="shared" si="12"/>
        <v>0</v>
      </c>
      <c r="O12" s="23">
        <f t="shared" si="12"/>
        <v>0</v>
      </c>
      <c r="P12" s="23">
        <f t="shared" si="12"/>
        <v>0</v>
      </c>
      <c r="Q12" s="23">
        <f t="shared" si="12"/>
        <v>0</v>
      </c>
      <c r="R12" s="23">
        <f t="shared" si="12"/>
        <v>0</v>
      </c>
      <c r="S12" s="23">
        <f t="shared" si="12"/>
        <v>0</v>
      </c>
      <c r="T12" s="23">
        <f aca="true" t="shared" si="13" ref="T12:AE12">$D$12/12</f>
        <v>5629.166666666667</v>
      </c>
      <c r="U12" s="23">
        <f t="shared" si="13"/>
        <v>5629.166666666667</v>
      </c>
      <c r="V12" s="23">
        <f t="shared" si="13"/>
        <v>5629.166666666667</v>
      </c>
      <c r="W12" s="23">
        <f t="shared" si="13"/>
        <v>5629.166666666667</v>
      </c>
      <c r="X12" s="23">
        <f t="shared" si="13"/>
        <v>5629.166666666667</v>
      </c>
      <c r="Y12" s="23">
        <f t="shared" si="13"/>
        <v>5629.166666666667</v>
      </c>
      <c r="Z12" s="23">
        <f t="shared" si="13"/>
        <v>5629.166666666667</v>
      </c>
      <c r="AA12" s="23">
        <f t="shared" si="13"/>
        <v>5629.166666666667</v>
      </c>
      <c r="AB12" s="23">
        <f t="shared" si="13"/>
        <v>5629.166666666667</v>
      </c>
      <c r="AC12" s="23">
        <f t="shared" si="13"/>
        <v>5629.166666666667</v>
      </c>
      <c r="AD12" s="23">
        <f t="shared" si="13"/>
        <v>5629.166666666667</v>
      </c>
      <c r="AE12" s="23">
        <f t="shared" si="13"/>
        <v>5629.166666666667</v>
      </c>
      <c r="AF12" s="23">
        <f aca="true" t="shared" si="14" ref="AF12:AQ12">$E$12/12</f>
        <v>25429.166666666668</v>
      </c>
      <c r="AG12" s="23">
        <f t="shared" si="14"/>
        <v>25429.166666666668</v>
      </c>
      <c r="AH12" s="23">
        <f t="shared" si="14"/>
        <v>25429.166666666668</v>
      </c>
      <c r="AI12" s="23">
        <f t="shared" si="14"/>
        <v>25429.166666666668</v>
      </c>
      <c r="AJ12" s="23">
        <f t="shared" si="14"/>
        <v>25429.166666666668</v>
      </c>
      <c r="AK12" s="23">
        <f t="shared" si="14"/>
        <v>25429.166666666668</v>
      </c>
      <c r="AL12" s="23">
        <f t="shared" si="14"/>
        <v>25429.166666666668</v>
      </c>
      <c r="AM12" s="23">
        <f t="shared" si="14"/>
        <v>25429.166666666668</v>
      </c>
      <c r="AN12" s="23">
        <f t="shared" si="14"/>
        <v>25429.166666666668</v>
      </c>
      <c r="AO12" s="23">
        <f t="shared" si="14"/>
        <v>25429.166666666668</v>
      </c>
      <c r="AP12" s="23">
        <f t="shared" si="14"/>
        <v>25429.166666666668</v>
      </c>
      <c r="AQ12" s="112">
        <f t="shared" si="14"/>
        <v>25429.166666666668</v>
      </c>
      <c r="AR12" s="157"/>
      <c r="AS12" s="157"/>
    </row>
    <row r="13" spans="1:45" ht="12.7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2.75">
      <c r="A14" s="32" t="s">
        <v>177</v>
      </c>
      <c r="B14" s="26"/>
      <c r="C14" s="23">
        <f>C108</f>
        <v>0</v>
      </c>
      <c r="D14" s="23">
        <f>D108</f>
        <v>79000</v>
      </c>
      <c r="E14" s="23">
        <f>E108</f>
        <v>126000</v>
      </c>
      <c r="F14" s="108" t="str">
        <f>'Revenue - B-to-B'!F14</f>
        <v>year 2 launch</v>
      </c>
      <c r="H14" s="111">
        <f>C14/12</f>
        <v>0</v>
      </c>
      <c r="I14" s="23">
        <f>$C$14/12</f>
        <v>0</v>
      </c>
      <c r="J14" s="23">
        <f aca="true" t="shared" si="15" ref="J14:S14">$C$14/12</f>
        <v>0</v>
      </c>
      <c r="K14" s="23">
        <f t="shared" si="15"/>
        <v>0</v>
      </c>
      <c r="L14" s="23">
        <f t="shared" si="15"/>
        <v>0</v>
      </c>
      <c r="M14" s="23">
        <f t="shared" si="15"/>
        <v>0</v>
      </c>
      <c r="N14" s="23">
        <f t="shared" si="15"/>
        <v>0</v>
      </c>
      <c r="O14" s="23">
        <f t="shared" si="15"/>
        <v>0</v>
      </c>
      <c r="P14" s="23">
        <f t="shared" si="15"/>
        <v>0</v>
      </c>
      <c r="Q14" s="23">
        <f t="shared" si="15"/>
        <v>0</v>
      </c>
      <c r="R14" s="23">
        <f t="shared" si="15"/>
        <v>0</v>
      </c>
      <c r="S14" s="23">
        <f t="shared" si="15"/>
        <v>0</v>
      </c>
      <c r="T14" s="23">
        <f>$D$14/12</f>
        <v>6583.333333333333</v>
      </c>
      <c r="U14" s="23">
        <f aca="true" t="shared" si="16" ref="U14:AE14">$D$14/12</f>
        <v>6583.333333333333</v>
      </c>
      <c r="V14" s="23">
        <f t="shared" si="16"/>
        <v>6583.333333333333</v>
      </c>
      <c r="W14" s="23">
        <f t="shared" si="16"/>
        <v>6583.333333333333</v>
      </c>
      <c r="X14" s="23">
        <f t="shared" si="16"/>
        <v>6583.333333333333</v>
      </c>
      <c r="Y14" s="23">
        <f t="shared" si="16"/>
        <v>6583.333333333333</v>
      </c>
      <c r="Z14" s="23">
        <f t="shared" si="16"/>
        <v>6583.333333333333</v>
      </c>
      <c r="AA14" s="23">
        <f t="shared" si="16"/>
        <v>6583.333333333333</v>
      </c>
      <c r="AB14" s="23">
        <f t="shared" si="16"/>
        <v>6583.333333333333</v>
      </c>
      <c r="AC14" s="23">
        <f t="shared" si="16"/>
        <v>6583.333333333333</v>
      </c>
      <c r="AD14" s="23">
        <f t="shared" si="16"/>
        <v>6583.333333333333</v>
      </c>
      <c r="AE14" s="23">
        <f t="shared" si="16"/>
        <v>6583.333333333333</v>
      </c>
      <c r="AF14" s="23">
        <f>$E$14/12</f>
        <v>10500</v>
      </c>
      <c r="AG14" s="23">
        <f aca="true" t="shared" si="17" ref="AG14:AQ14">$E$14/12</f>
        <v>10500</v>
      </c>
      <c r="AH14" s="23">
        <f t="shared" si="17"/>
        <v>10500</v>
      </c>
      <c r="AI14" s="23">
        <f t="shared" si="17"/>
        <v>10500</v>
      </c>
      <c r="AJ14" s="23">
        <f t="shared" si="17"/>
        <v>10500</v>
      </c>
      <c r="AK14" s="23">
        <f t="shared" si="17"/>
        <v>10500</v>
      </c>
      <c r="AL14" s="23">
        <f t="shared" si="17"/>
        <v>10500</v>
      </c>
      <c r="AM14" s="23">
        <f t="shared" si="17"/>
        <v>10500</v>
      </c>
      <c r="AN14" s="23">
        <f t="shared" si="17"/>
        <v>10500</v>
      </c>
      <c r="AO14" s="23">
        <f t="shared" si="17"/>
        <v>10500</v>
      </c>
      <c r="AP14" s="23">
        <f t="shared" si="17"/>
        <v>10500</v>
      </c>
      <c r="AQ14" s="112">
        <f t="shared" si="17"/>
        <v>10500</v>
      </c>
      <c r="AR14" s="157"/>
      <c r="AS14" s="157"/>
    </row>
    <row r="15" spans="1:45" ht="12.7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2.75">
      <c r="A16" s="32" t="s">
        <v>178</v>
      </c>
      <c r="B16" s="26"/>
      <c r="C16" s="23">
        <f>C122</f>
        <v>0</v>
      </c>
      <c r="D16" s="23">
        <f>D122</f>
        <v>0</v>
      </c>
      <c r="E16" s="23">
        <f>E122</f>
        <v>0</v>
      </c>
      <c r="F16" s="108" t="str">
        <f>'Revenue - B-to-B'!F16</f>
        <v>Not included in this model</v>
      </c>
      <c r="H16" s="111">
        <f>C16/12</f>
        <v>0</v>
      </c>
      <c r="I16" s="23">
        <f>$C$16/12</f>
        <v>0</v>
      </c>
      <c r="J16" s="23">
        <f aca="true" t="shared" si="18" ref="J16:S16">$C$16/12</f>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$D$16/12</f>
        <v>0</v>
      </c>
      <c r="U16" s="23">
        <f aca="true" t="shared" si="19" ref="U16:AE16">$D$16/12</f>
        <v>0</v>
      </c>
      <c r="V16" s="23">
        <f t="shared" si="19"/>
        <v>0</v>
      </c>
      <c r="W16" s="23">
        <f t="shared" si="19"/>
        <v>0</v>
      </c>
      <c r="X16" s="23">
        <f t="shared" si="19"/>
        <v>0</v>
      </c>
      <c r="Y16" s="23">
        <f t="shared" si="19"/>
        <v>0</v>
      </c>
      <c r="Z16" s="23">
        <f t="shared" si="19"/>
        <v>0</v>
      </c>
      <c r="AA16" s="23">
        <f t="shared" si="19"/>
        <v>0</v>
      </c>
      <c r="AB16" s="23">
        <f t="shared" si="19"/>
        <v>0</v>
      </c>
      <c r="AC16" s="23">
        <f t="shared" si="19"/>
        <v>0</v>
      </c>
      <c r="AD16" s="23">
        <f t="shared" si="19"/>
        <v>0</v>
      </c>
      <c r="AE16" s="23">
        <f t="shared" si="19"/>
        <v>0</v>
      </c>
      <c r="AF16" s="23">
        <f>$E$16/12</f>
        <v>0</v>
      </c>
      <c r="AG16" s="23">
        <f aca="true" t="shared" si="20" ref="AG16:AQ16">$E$16/12</f>
        <v>0</v>
      </c>
      <c r="AH16" s="23">
        <f t="shared" si="20"/>
        <v>0</v>
      </c>
      <c r="AI16" s="23">
        <f t="shared" si="20"/>
        <v>0</v>
      </c>
      <c r="AJ16" s="23">
        <f t="shared" si="20"/>
        <v>0</v>
      </c>
      <c r="AK16" s="23">
        <f t="shared" si="20"/>
        <v>0</v>
      </c>
      <c r="AL16" s="23">
        <f t="shared" si="20"/>
        <v>0</v>
      </c>
      <c r="AM16" s="23">
        <f t="shared" si="20"/>
        <v>0</v>
      </c>
      <c r="AN16" s="23">
        <f t="shared" si="20"/>
        <v>0</v>
      </c>
      <c r="AO16" s="23">
        <f t="shared" si="20"/>
        <v>0</v>
      </c>
      <c r="AP16" s="23">
        <f t="shared" si="20"/>
        <v>0</v>
      </c>
      <c r="AQ16" s="112">
        <f t="shared" si="20"/>
        <v>0</v>
      </c>
    </row>
    <row r="17" spans="1:43" ht="12.75">
      <c r="A17" s="32"/>
      <c r="B17" s="26"/>
      <c r="C17" s="37"/>
      <c r="D17" s="37"/>
      <c r="E17" s="37"/>
      <c r="F17" s="108"/>
      <c r="H17" s="154"/>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155"/>
    </row>
    <row r="18" spans="1:45" ht="12.75">
      <c r="A18" s="32" t="s">
        <v>179</v>
      </c>
      <c r="B18" s="26"/>
      <c r="C18" s="23">
        <f>C135</f>
        <v>0</v>
      </c>
      <c r="D18" s="23">
        <f>D135</f>
        <v>0</v>
      </c>
      <c r="E18" s="23">
        <f>E135</f>
        <v>0</v>
      </c>
      <c r="F18" s="108" t="str">
        <f>'Revenue - B-to-B'!F18</f>
        <v>Not included in this model</v>
      </c>
      <c r="H18" s="111">
        <f>C18/12</f>
        <v>0</v>
      </c>
      <c r="I18" s="23">
        <f>$C$18/12</f>
        <v>0</v>
      </c>
      <c r="J18" s="23">
        <f aca="true" t="shared" si="21" ref="J18:S18">$C$18/12</f>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$D$18/12</f>
        <v>0</v>
      </c>
      <c r="U18" s="23">
        <f aca="true" t="shared" si="22" ref="U18:AE18">$D$18/12</f>
        <v>0</v>
      </c>
      <c r="V18" s="23">
        <f t="shared" si="22"/>
        <v>0</v>
      </c>
      <c r="W18" s="23">
        <f t="shared" si="22"/>
        <v>0</v>
      </c>
      <c r="X18" s="23">
        <f t="shared" si="22"/>
        <v>0</v>
      </c>
      <c r="Y18" s="23">
        <f t="shared" si="22"/>
        <v>0</v>
      </c>
      <c r="Z18" s="23">
        <f t="shared" si="22"/>
        <v>0</v>
      </c>
      <c r="AA18" s="23">
        <f t="shared" si="22"/>
        <v>0</v>
      </c>
      <c r="AB18" s="23">
        <f t="shared" si="22"/>
        <v>0</v>
      </c>
      <c r="AC18" s="23">
        <f t="shared" si="22"/>
        <v>0</v>
      </c>
      <c r="AD18" s="23">
        <f t="shared" si="22"/>
        <v>0</v>
      </c>
      <c r="AE18" s="23">
        <f t="shared" si="22"/>
        <v>0</v>
      </c>
      <c r="AF18" s="23">
        <f>$E$18/12</f>
        <v>0</v>
      </c>
      <c r="AG18" s="23">
        <f aca="true" t="shared" si="23" ref="AG18:AQ18">$E$18/12</f>
        <v>0</v>
      </c>
      <c r="AH18" s="23">
        <f t="shared" si="23"/>
        <v>0</v>
      </c>
      <c r="AI18" s="23">
        <f t="shared" si="23"/>
        <v>0</v>
      </c>
      <c r="AJ18" s="23">
        <f t="shared" si="23"/>
        <v>0</v>
      </c>
      <c r="AK18" s="23">
        <f t="shared" si="23"/>
        <v>0</v>
      </c>
      <c r="AL18" s="23">
        <f t="shared" si="23"/>
        <v>0</v>
      </c>
      <c r="AM18" s="23">
        <f t="shared" si="23"/>
        <v>0</v>
      </c>
      <c r="AN18" s="23">
        <f t="shared" si="23"/>
        <v>0</v>
      </c>
      <c r="AO18" s="23">
        <f t="shared" si="23"/>
        <v>0</v>
      </c>
      <c r="AP18" s="23">
        <f t="shared" si="23"/>
        <v>0</v>
      </c>
      <c r="AQ18" s="112">
        <f t="shared" si="23"/>
        <v>0</v>
      </c>
      <c r="AR18" s="157"/>
      <c r="AS18" s="157"/>
    </row>
    <row r="19" spans="1:45" ht="12.7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3" s="138" customFormat="1" ht="13.5" thickBot="1">
      <c r="A20" s="159"/>
      <c r="B20" s="160"/>
      <c r="F20" s="161"/>
      <c r="H20" s="159"/>
      <c r="AQ20" s="161"/>
    </row>
    <row r="21" spans="1:43" ht="12.75">
      <c r="A21" s="32"/>
      <c r="B21" s="26"/>
      <c r="C21" s="26"/>
      <c r="D21" s="26"/>
      <c r="E21" s="26"/>
      <c r="F21" s="108"/>
      <c r="H21" s="11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112"/>
    </row>
    <row r="22" spans="1:43" ht="12.75">
      <c r="A22" s="162" t="s">
        <v>341</v>
      </c>
      <c r="B22" s="26"/>
      <c r="C22" s="23">
        <f>SUM(C4:C19)</f>
        <v>1454549.5614035088</v>
      </c>
      <c r="D22" s="23">
        <f>SUM(D4:D19)</f>
        <v>1982014.4736842106</v>
      </c>
      <c r="E22" s="23">
        <f>SUM(E4:E19)</f>
        <v>2516773.307017544</v>
      </c>
      <c r="F22" s="108"/>
      <c r="H22" s="111">
        <f>SUM(H4:H19)</f>
        <v>121212.4634502924</v>
      </c>
      <c r="I22" s="23">
        <f>SUM(I4:I19)</f>
        <v>121212.4634502924</v>
      </c>
      <c r="J22" s="23">
        <f aca="true" t="shared" si="24" ref="J22:AQ22">SUM(J4:J19)</f>
        <v>121212.4634502924</v>
      </c>
      <c r="K22" s="23">
        <f t="shared" si="24"/>
        <v>121212.4634502924</v>
      </c>
      <c r="L22" s="23">
        <f t="shared" si="24"/>
        <v>121212.4634502924</v>
      </c>
      <c r="M22" s="23">
        <f t="shared" si="24"/>
        <v>121212.4634502924</v>
      </c>
      <c r="N22" s="23">
        <f t="shared" si="24"/>
        <v>121212.4634502924</v>
      </c>
      <c r="O22" s="23">
        <f t="shared" si="24"/>
        <v>121212.4634502924</v>
      </c>
      <c r="P22" s="23">
        <f t="shared" si="24"/>
        <v>121212.4634502924</v>
      </c>
      <c r="Q22" s="23">
        <f t="shared" si="24"/>
        <v>121212.4634502924</v>
      </c>
      <c r="R22" s="23">
        <f t="shared" si="24"/>
        <v>121212.4634502924</v>
      </c>
      <c r="S22" s="23">
        <f t="shared" si="24"/>
        <v>121212.4634502924</v>
      </c>
      <c r="T22" s="23">
        <f t="shared" si="24"/>
        <v>165167.87280701756</v>
      </c>
      <c r="U22" s="23">
        <f t="shared" si="24"/>
        <v>165167.87280701756</v>
      </c>
      <c r="V22" s="23">
        <f t="shared" si="24"/>
        <v>165167.87280701756</v>
      </c>
      <c r="W22" s="23">
        <f t="shared" si="24"/>
        <v>165167.87280701756</v>
      </c>
      <c r="X22" s="23">
        <f t="shared" si="24"/>
        <v>165167.87280701756</v>
      </c>
      <c r="Y22" s="23">
        <f t="shared" si="24"/>
        <v>165167.87280701756</v>
      </c>
      <c r="Z22" s="23">
        <f t="shared" si="24"/>
        <v>165167.87280701756</v>
      </c>
      <c r="AA22" s="23">
        <f t="shared" si="24"/>
        <v>165167.87280701756</v>
      </c>
      <c r="AB22" s="23">
        <f t="shared" si="24"/>
        <v>165167.87280701756</v>
      </c>
      <c r="AC22" s="23">
        <f t="shared" si="24"/>
        <v>165167.87280701756</v>
      </c>
      <c r="AD22" s="23">
        <f t="shared" si="24"/>
        <v>165167.87280701756</v>
      </c>
      <c r="AE22" s="23">
        <f t="shared" si="24"/>
        <v>165167.87280701756</v>
      </c>
      <c r="AF22" s="23">
        <f t="shared" si="24"/>
        <v>209731.10891812862</v>
      </c>
      <c r="AG22" s="23">
        <f t="shared" si="24"/>
        <v>209731.10891812862</v>
      </c>
      <c r="AH22" s="23">
        <f t="shared" si="24"/>
        <v>209731.10891812862</v>
      </c>
      <c r="AI22" s="23">
        <f t="shared" si="24"/>
        <v>209731.10891812862</v>
      </c>
      <c r="AJ22" s="23">
        <f t="shared" si="24"/>
        <v>209731.10891812862</v>
      </c>
      <c r="AK22" s="23">
        <f t="shared" si="24"/>
        <v>209731.10891812862</v>
      </c>
      <c r="AL22" s="23">
        <f t="shared" si="24"/>
        <v>209731.10891812862</v>
      </c>
      <c r="AM22" s="23">
        <f t="shared" si="24"/>
        <v>209731.10891812862</v>
      </c>
      <c r="AN22" s="23">
        <f t="shared" si="24"/>
        <v>209731.10891812862</v>
      </c>
      <c r="AO22" s="23">
        <f t="shared" si="24"/>
        <v>209731.10891812862</v>
      </c>
      <c r="AP22" s="23">
        <f t="shared" si="24"/>
        <v>209731.10891812862</v>
      </c>
      <c r="AQ22" s="112">
        <f t="shared" si="24"/>
        <v>209731.10891812862</v>
      </c>
    </row>
    <row r="23" spans="1:43" ht="13.5" thickBot="1">
      <c r="A23" s="159"/>
      <c r="B23" s="138"/>
      <c r="C23" s="138"/>
      <c r="D23" s="138"/>
      <c r="E23" s="138"/>
      <c r="F23" s="161"/>
      <c r="H23" s="159"/>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61"/>
    </row>
    <row r="27" s="103" customFormat="1" ht="12.75">
      <c r="A27" s="330" t="s">
        <v>434</v>
      </c>
    </row>
    <row r="28" spans="1:2" ht="12.75">
      <c r="A28" s="171"/>
      <c r="B28" s="25" t="s">
        <v>192</v>
      </c>
    </row>
    <row r="29" spans="1:2" ht="12.75">
      <c r="A29" s="171"/>
      <c r="B29" s="25" t="s">
        <v>232</v>
      </c>
    </row>
    <row r="30" spans="1:2" ht="12.75">
      <c r="A30" s="171"/>
      <c r="B30" s="164" t="s">
        <v>173</v>
      </c>
    </row>
    <row r="31" ht="12.75">
      <c r="B31" s="164" t="s">
        <v>174</v>
      </c>
    </row>
    <row r="32" ht="12.75">
      <c r="B32" s="164" t="s">
        <v>34</v>
      </c>
    </row>
    <row r="33" ht="12.75">
      <c r="B33" s="164" t="s">
        <v>435</v>
      </c>
    </row>
    <row r="34" ht="12.75">
      <c r="A34" s="171"/>
    </row>
    <row r="35" spans="3:5" ht="12.75">
      <c r="C35" s="169" t="s">
        <v>319</v>
      </c>
      <c r="D35" s="169" t="s">
        <v>320</v>
      </c>
      <c r="E35" s="169" t="s">
        <v>321</v>
      </c>
    </row>
    <row r="37" spans="1:43" ht="12.75">
      <c r="A37" s="25" t="s">
        <v>520</v>
      </c>
      <c r="C37" s="23">
        <f>'Revenue - B-to-B'!C4</f>
        <v>928400</v>
      </c>
      <c r="D37" s="23">
        <f>'Revenue - B-to-B'!D4</f>
        <v>1108400</v>
      </c>
      <c r="E37" s="23">
        <f>'Revenue - B-to-B'!E4</f>
        <v>1198400</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row>
    <row r="38" spans="1:43" ht="12.75">
      <c r="A38" s="25" t="s">
        <v>521</v>
      </c>
      <c r="C38" s="23">
        <f>'Expenses- B-to-B'!D57</f>
        <v>103495</v>
      </c>
      <c r="D38" s="23">
        <f>'Expenses- B-to-B'!E57</f>
        <v>169145</v>
      </c>
      <c r="E38" s="23">
        <f>'Expenses- B-to-B'!F57</f>
        <v>241947.5</v>
      </c>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row>
    <row r="39" spans="2:43" ht="12.75">
      <c r="B39" s="25" t="s">
        <v>341</v>
      </c>
      <c r="C39" s="23">
        <f>C37-C38</f>
        <v>824905</v>
      </c>
      <c r="D39" s="23">
        <f>D37-D38</f>
        <v>939255</v>
      </c>
      <c r="E39" s="23">
        <f>E37-E38</f>
        <v>956452.5</v>
      </c>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row>
    <row r="42" spans="3:43" ht="12.75">
      <c r="C42" s="172"/>
      <c r="D42" s="172"/>
      <c r="E42" s="172"/>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row>
    <row r="43" s="103" customFormat="1" ht="12.75">
      <c r="A43" s="330" t="s">
        <v>553</v>
      </c>
    </row>
    <row r="44" spans="1:2" ht="12.75">
      <c r="A44" s="99"/>
      <c r="B44" s="25" t="s">
        <v>554</v>
      </c>
    </row>
    <row r="45" spans="1:2" ht="12.75">
      <c r="A45" s="99"/>
      <c r="B45" s="164" t="s">
        <v>555</v>
      </c>
    </row>
    <row r="46" spans="1:2" ht="12.75">
      <c r="A46" s="99"/>
      <c r="B46" s="164" t="s">
        <v>556</v>
      </c>
    </row>
    <row r="47" spans="1:2" ht="12.75">
      <c r="A47" s="99"/>
      <c r="B47" s="164" t="s">
        <v>557</v>
      </c>
    </row>
    <row r="49" spans="3:8" ht="12.75">
      <c r="C49" s="169" t="s">
        <v>319</v>
      </c>
      <c r="D49" s="169" t="s">
        <v>320</v>
      </c>
      <c r="E49" s="169" t="s">
        <v>321</v>
      </c>
      <c r="H49" s="17"/>
    </row>
    <row r="51" spans="1:43" ht="12.75">
      <c r="A51" s="25" t="s">
        <v>520</v>
      </c>
      <c r="C51" s="23">
        <f>'Revenue - B-to-B'!C6</f>
        <v>742500</v>
      </c>
      <c r="D51" s="23">
        <f>'Revenue - B-to-B'!D6</f>
        <v>990000</v>
      </c>
      <c r="E51" s="23">
        <f>'Revenue - B-to-B'!E6</f>
        <v>1237500</v>
      </c>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row>
    <row r="52" spans="1:43" ht="12.75">
      <c r="A52" s="25" t="s">
        <v>521</v>
      </c>
      <c r="C52" s="23">
        <f>'Expenses- B-to-B'!D83</f>
        <v>223000</v>
      </c>
      <c r="D52" s="23">
        <f>'Expenses- B-to-B'!E83</f>
        <v>284000</v>
      </c>
      <c r="E52" s="23">
        <f>'Expenses- B-to-B'!F83</f>
        <v>347270</v>
      </c>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row>
    <row r="53" spans="2:43" ht="12.75">
      <c r="B53" s="25" t="s">
        <v>341</v>
      </c>
      <c r="C53" s="23">
        <f>C51-C52</f>
        <v>519500</v>
      </c>
      <c r="D53" s="23">
        <f>D51-D52</f>
        <v>706000</v>
      </c>
      <c r="E53" s="23">
        <f>E51-E52</f>
        <v>890230</v>
      </c>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row>
    <row r="57" s="103" customFormat="1" ht="12.75">
      <c r="A57" s="330" t="s">
        <v>349</v>
      </c>
    </row>
    <row r="58" spans="1:2" ht="12.75">
      <c r="A58" s="99"/>
      <c r="B58" s="25" t="s">
        <v>289</v>
      </c>
    </row>
    <row r="59" spans="1:2" ht="12.75">
      <c r="A59" s="99"/>
      <c r="B59" s="25" t="s">
        <v>200</v>
      </c>
    </row>
    <row r="60" spans="1:2" ht="12.75">
      <c r="A60" s="99"/>
      <c r="B60" s="25" t="s">
        <v>201</v>
      </c>
    </row>
    <row r="61" spans="1:2" ht="12.75">
      <c r="A61" s="99"/>
      <c r="B61" s="164" t="s">
        <v>350</v>
      </c>
    </row>
    <row r="63" spans="3:5" ht="12.75">
      <c r="C63" s="169" t="s">
        <v>319</v>
      </c>
      <c r="D63" s="169" t="s">
        <v>320</v>
      </c>
      <c r="E63" s="169" t="s">
        <v>321</v>
      </c>
    </row>
    <row r="64" ht="12.75">
      <c r="H64" s="178"/>
    </row>
    <row r="65" spans="1:43" ht="12.75">
      <c r="A65" s="25" t="s">
        <v>520</v>
      </c>
      <c r="C65" s="23">
        <f>'Revenue - B-to-B'!C8</f>
        <v>325144.56140350876</v>
      </c>
      <c r="D65" s="23">
        <f>'Revenue - B-to-B'!D8</f>
        <v>358309.4736842105</v>
      </c>
      <c r="E65" s="23">
        <f>'Revenue - B-to-B'!E8</f>
        <v>410202.8070175438</v>
      </c>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row>
    <row r="66" spans="1:43" ht="12.75">
      <c r="A66" s="25" t="s">
        <v>521</v>
      </c>
      <c r="C66" s="23">
        <f>'Expenses- B-to-B'!D105</f>
        <v>215000</v>
      </c>
      <c r="D66" s="23">
        <f>'Expenses- B-to-B'!E105</f>
        <v>168100</v>
      </c>
      <c r="E66" s="23">
        <f>'Expenses- B-to-B'!F105</f>
        <v>171262</v>
      </c>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row>
    <row r="67" spans="2:43" ht="12.75">
      <c r="B67" s="25" t="s">
        <v>341</v>
      </c>
      <c r="C67" s="23">
        <f>C65-C66</f>
        <v>110144.56140350876</v>
      </c>
      <c r="D67" s="23">
        <f>D65-D66</f>
        <v>190209.4736842105</v>
      </c>
      <c r="E67" s="23">
        <f>E65-E66</f>
        <v>238940.80701754382</v>
      </c>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row>
    <row r="68" ht="12.75">
      <c r="B68" s="164"/>
    </row>
    <row r="69" ht="12.75">
      <c r="H69" s="164"/>
    </row>
    <row r="70" ht="12.75">
      <c r="H70" s="164"/>
    </row>
    <row r="71" s="103" customFormat="1" ht="12.75">
      <c r="A71" s="330" t="s">
        <v>246</v>
      </c>
    </row>
    <row r="72" spans="1:2" ht="12.75">
      <c r="A72" s="99"/>
      <c r="B72" s="164" t="s">
        <v>193</v>
      </c>
    </row>
    <row r="73" spans="1:2" ht="12.75">
      <c r="A73" s="99"/>
      <c r="B73" s="25" t="s">
        <v>313</v>
      </c>
    </row>
    <row r="74" spans="1:2" ht="12.75">
      <c r="A74" s="99"/>
      <c r="B74" s="164" t="s">
        <v>346</v>
      </c>
    </row>
    <row r="75" spans="1:2" ht="12.75">
      <c r="A75" s="99"/>
      <c r="B75" s="164" t="s">
        <v>494</v>
      </c>
    </row>
    <row r="76" spans="1:2" ht="12.75">
      <c r="A76" s="99"/>
      <c r="B76" s="204" t="s">
        <v>495</v>
      </c>
    </row>
    <row r="77" spans="1:2" ht="12.75">
      <c r="A77" s="99"/>
      <c r="B77" s="178" t="s">
        <v>496</v>
      </c>
    </row>
    <row r="79" spans="3:5" ht="12.75">
      <c r="C79" s="169" t="s">
        <v>319</v>
      </c>
      <c r="D79" s="169" t="s">
        <v>320</v>
      </c>
      <c r="E79" s="169" t="s">
        <v>321</v>
      </c>
    </row>
    <row r="81" spans="1:43" ht="12.75">
      <c r="A81" s="25" t="s">
        <v>520</v>
      </c>
      <c r="C81" s="23">
        <f>'Revenue - B-to-B'!C10</f>
        <v>0</v>
      </c>
      <c r="D81" s="23">
        <f>'Revenue - B-to-B'!D10</f>
        <v>0</v>
      </c>
      <c r="E81" s="23">
        <f>'Revenue - B-to-B'!E10</f>
        <v>0</v>
      </c>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row>
    <row r="82" spans="1:43" ht="12.75">
      <c r="A82" s="25" t="s">
        <v>521</v>
      </c>
      <c r="C82" s="23">
        <f>'Expenses- B-to-B'!D126</f>
        <v>0</v>
      </c>
      <c r="D82" s="23">
        <f>'Expenses- B-to-B'!E126</f>
        <v>0</v>
      </c>
      <c r="E82" s="23">
        <f>'Expenses- B-to-B'!F126</f>
        <v>0</v>
      </c>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row>
    <row r="83" spans="2:43" ht="12.75">
      <c r="B83" s="25" t="s">
        <v>341</v>
      </c>
      <c r="C83" s="23">
        <f>C81-C82</f>
        <v>0</v>
      </c>
      <c r="D83" s="23">
        <f>D81-D82</f>
        <v>0</v>
      </c>
      <c r="E83" s="23">
        <f>E81-E82</f>
        <v>0</v>
      </c>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row>
    <row r="87" s="103" customFormat="1" ht="12.75">
      <c r="A87" s="330" t="s">
        <v>510</v>
      </c>
    </row>
    <row r="88" spans="1:2" ht="12.75">
      <c r="A88" s="99"/>
      <c r="B88" s="164" t="s">
        <v>511</v>
      </c>
    </row>
    <row r="89" spans="1:2" ht="12.75">
      <c r="A89" s="99"/>
      <c r="B89" s="164" t="s">
        <v>512</v>
      </c>
    </row>
    <row r="90" spans="1:2" ht="12.75">
      <c r="A90" s="99"/>
      <c r="B90" s="164" t="s">
        <v>513</v>
      </c>
    </row>
    <row r="92" spans="3:5" ht="12.75">
      <c r="C92" s="169" t="s">
        <v>319</v>
      </c>
      <c r="D92" s="169" t="s">
        <v>320</v>
      </c>
      <c r="E92" s="169" t="s">
        <v>321</v>
      </c>
    </row>
    <row r="94" spans="1:43" ht="12.75">
      <c r="A94" s="25" t="s">
        <v>520</v>
      </c>
      <c r="C94" s="23">
        <f>'Revenue - B-to-B'!C12</f>
        <v>0</v>
      </c>
      <c r="D94" s="23">
        <f>'Revenue - B-to-B'!D12</f>
        <v>264000</v>
      </c>
      <c r="E94" s="23">
        <f>'Revenue - B-to-B'!E12</f>
        <v>480000</v>
      </c>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row>
    <row r="95" spans="1:43" ht="12.75">
      <c r="A95" s="25" t="s">
        <v>521</v>
      </c>
      <c r="C95" s="23">
        <f>'Expenses- B-to-B'!D161</f>
        <v>0</v>
      </c>
      <c r="D95" s="23">
        <f>'Expenses- B-to-B'!E161</f>
        <v>196450</v>
      </c>
      <c r="E95" s="23">
        <f>'Expenses- B-to-B'!F161</f>
        <v>174850</v>
      </c>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row>
    <row r="96" spans="2:43" ht="12.75">
      <c r="B96" s="25" t="s">
        <v>341</v>
      </c>
      <c r="C96" s="23">
        <f>C94-C95</f>
        <v>0</v>
      </c>
      <c r="D96" s="23">
        <f>D94-D95</f>
        <v>67550</v>
      </c>
      <c r="E96" s="23">
        <f>E94-E95</f>
        <v>305150</v>
      </c>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row>
    <row r="100" s="103" customFormat="1" ht="12.75">
      <c r="A100" s="330" t="s">
        <v>301</v>
      </c>
    </row>
    <row r="101" spans="1:2" ht="12.75">
      <c r="A101" s="99"/>
      <c r="B101" s="164" t="s">
        <v>302</v>
      </c>
    </row>
    <row r="102" spans="1:2" ht="12.75">
      <c r="A102" s="99"/>
      <c r="B102" s="164" t="s">
        <v>303</v>
      </c>
    </row>
    <row r="104" spans="3:5" ht="12.75">
      <c r="C104" s="169" t="s">
        <v>319</v>
      </c>
      <c r="D104" s="169" t="s">
        <v>320</v>
      </c>
      <c r="E104" s="169" t="s">
        <v>321</v>
      </c>
    </row>
    <row r="106" spans="1:5" ht="12.75">
      <c r="A106" s="25" t="s">
        <v>520</v>
      </c>
      <c r="C106" s="23">
        <f>'Revenue - B-to-B'!C14</f>
        <v>0</v>
      </c>
      <c r="D106" s="23">
        <f>'Revenue - B-to-B'!D14</f>
        <v>120000</v>
      </c>
      <c r="E106" s="23">
        <f>'Revenue - B-to-B'!E14</f>
        <v>180000</v>
      </c>
    </row>
    <row r="107" spans="1:5" ht="12.75">
      <c r="A107" s="25" t="s">
        <v>521</v>
      </c>
      <c r="C107" s="23">
        <f>'Expenses- B-to-B'!D179</f>
        <v>0</v>
      </c>
      <c r="D107" s="23">
        <f>'Expenses- B-to-B'!E179</f>
        <v>41000</v>
      </c>
      <c r="E107" s="23">
        <f>'Expenses- B-to-B'!F179</f>
        <v>54000</v>
      </c>
    </row>
    <row r="108" spans="2:5" ht="12.75">
      <c r="B108" s="25" t="s">
        <v>341</v>
      </c>
      <c r="C108" s="136">
        <f>C106-C107</f>
        <v>0</v>
      </c>
      <c r="D108" s="136">
        <f>D106-D107</f>
        <v>79000</v>
      </c>
      <c r="E108" s="136">
        <f>E106-E107</f>
        <v>126000</v>
      </c>
    </row>
    <row r="112" s="103" customFormat="1" ht="12.75">
      <c r="A112" s="330" t="s">
        <v>309</v>
      </c>
    </row>
    <row r="113" spans="1:2" ht="12.75">
      <c r="A113" s="99"/>
      <c r="B113" s="25" t="s">
        <v>310</v>
      </c>
    </row>
    <row r="114" spans="1:2" ht="12.75">
      <c r="A114" s="99"/>
      <c r="B114" s="164" t="s">
        <v>202</v>
      </c>
    </row>
    <row r="115" spans="1:2" ht="12.75">
      <c r="A115" s="99"/>
      <c r="B115" s="25" t="s">
        <v>312</v>
      </c>
    </row>
    <row r="116" spans="1:2" ht="12.75">
      <c r="A116" s="99"/>
      <c r="B116" s="164" t="s">
        <v>311</v>
      </c>
    </row>
    <row r="118" spans="3:5" ht="12.75">
      <c r="C118" s="169" t="s">
        <v>319</v>
      </c>
      <c r="D118" s="169" t="s">
        <v>320</v>
      </c>
      <c r="E118" s="169" t="s">
        <v>321</v>
      </c>
    </row>
    <row r="119" ht="12.75">
      <c r="A119" s="99"/>
    </row>
    <row r="120" spans="1:43" ht="12.75">
      <c r="A120" s="25" t="s">
        <v>520</v>
      </c>
      <c r="C120" s="23">
        <f>'Revenue - B-to-B'!C16</f>
        <v>0</v>
      </c>
      <c r="D120" s="23">
        <f>'Revenue - B-to-B'!D16</f>
        <v>0</v>
      </c>
      <c r="E120" s="23">
        <f>'Revenue - B-to-B'!E16</f>
        <v>0</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ht="12.75">
      <c r="A121" s="25" t="s">
        <v>521</v>
      </c>
      <c r="C121" s="23">
        <f>'Expenses- B-to-B'!D200</f>
        <v>0</v>
      </c>
      <c r="D121" s="23">
        <f>'Expenses- B-to-B'!E200</f>
        <v>0</v>
      </c>
      <c r="E121" s="23">
        <f>'Expenses- B-to-B'!F200</f>
        <v>0</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2:43" ht="12.75">
      <c r="B122" s="25" t="s">
        <v>341</v>
      </c>
      <c r="C122" s="23">
        <f>C120-C121</f>
        <v>0</v>
      </c>
      <c r="D122" s="23">
        <f>D120-D121</f>
        <v>0</v>
      </c>
      <c r="E122" s="23">
        <f>E120-E121</f>
        <v>0</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3" ht="12.75">
      <c r="A123" s="99"/>
      <c r="C123" s="136"/>
    </row>
    <row r="126" s="103" customFormat="1" ht="12.75">
      <c r="A126" s="330" t="s">
        <v>455</v>
      </c>
    </row>
    <row r="127" spans="1:2" ht="12.75">
      <c r="A127" s="99"/>
      <c r="B127" s="25" t="s">
        <v>290</v>
      </c>
    </row>
    <row r="128" spans="1:2" ht="12.75">
      <c r="A128" s="99"/>
      <c r="B128" s="164" t="s">
        <v>456</v>
      </c>
    </row>
    <row r="129" spans="1:2" ht="12.75">
      <c r="A129" s="99"/>
      <c r="B129" s="164" t="s">
        <v>457</v>
      </c>
    </row>
    <row r="131" spans="3:5" ht="12.75">
      <c r="C131" s="169" t="s">
        <v>319</v>
      </c>
      <c r="D131" s="169" t="s">
        <v>320</v>
      </c>
      <c r="E131" s="169" t="s">
        <v>321</v>
      </c>
    </row>
    <row r="132" ht="12.75">
      <c r="A132" s="99"/>
    </row>
    <row r="133" spans="1:43" ht="12.75">
      <c r="A133" s="25" t="s">
        <v>520</v>
      </c>
      <c r="C133" s="23">
        <f>'Revenue - B-to-B'!C18</f>
        <v>0</v>
      </c>
      <c r="D133" s="23">
        <f>'Revenue - B-to-B'!D18</f>
        <v>0</v>
      </c>
      <c r="E133" s="23">
        <f>'Revenue - B-to-B'!E18</f>
        <v>0</v>
      </c>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43" ht="12.75">
      <c r="A134" s="25" t="s">
        <v>521</v>
      </c>
      <c r="C134" s="23">
        <f>'Expenses- B-to-B'!D219</f>
        <v>0</v>
      </c>
      <c r="D134" s="23">
        <f>'Expenses- B-to-B'!E219</f>
        <v>0</v>
      </c>
      <c r="E134" s="23">
        <f>'Expenses- B-to-B'!F219</f>
        <v>0</v>
      </c>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2:43" ht="12.75">
      <c r="B135" s="25" t="s">
        <v>341</v>
      </c>
      <c r="C135" s="23">
        <f>C133-C134</f>
        <v>0</v>
      </c>
      <c r="D135" s="23">
        <f>D133-D134</f>
        <v>0</v>
      </c>
      <c r="E135" s="23">
        <f>E133-E134</f>
        <v>0</v>
      </c>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22"/>
  <sheetViews>
    <sheetView zoomScale="110" zoomScaleNormal="110" workbookViewId="0" topLeftCell="A1">
      <selection activeCell="D17" sqref="D17"/>
    </sheetView>
  </sheetViews>
  <sheetFormatPr defaultColWidth="11.421875" defaultRowHeight="12.75"/>
  <cols>
    <col min="1" max="1" width="24.8515625" style="25" customWidth="1"/>
    <col min="2" max="2" width="13.28125" style="25" customWidth="1"/>
    <col min="3" max="3" width="19.140625" style="25" customWidth="1"/>
    <col min="4" max="4" width="9.7109375" style="25" customWidth="1"/>
    <col min="5" max="5" width="14.421875" style="25" customWidth="1"/>
    <col min="6" max="6" width="11.00390625" style="25" customWidth="1"/>
    <col min="7" max="16384" width="11.421875" style="25" customWidth="1"/>
  </cols>
  <sheetData>
    <row r="1" spans="1:6" ht="28.5" customHeight="1">
      <c r="A1" s="91" t="s">
        <v>51</v>
      </c>
      <c r="B1" s="91" t="s">
        <v>52</v>
      </c>
      <c r="C1" s="91" t="s">
        <v>53</v>
      </c>
      <c r="D1" s="91" t="s">
        <v>54</v>
      </c>
      <c r="E1" s="91" t="s">
        <v>55</v>
      </c>
      <c r="F1" s="91" t="s">
        <v>56</v>
      </c>
    </row>
    <row r="2" spans="1:4" ht="15.75" customHeight="1">
      <c r="A2" s="25" t="s">
        <v>57</v>
      </c>
      <c r="B2" s="92">
        <v>14000000</v>
      </c>
      <c r="C2" s="92">
        <v>22000000</v>
      </c>
      <c r="D2" s="10">
        <f aca="true" t="shared" si="0" ref="D2:D13">B2/C2</f>
        <v>0.6363636363636364</v>
      </c>
    </row>
    <row r="3" spans="1:4" ht="15.75" customHeight="1">
      <c r="A3" s="25" t="s">
        <v>58</v>
      </c>
      <c r="B3" s="92">
        <v>7500000</v>
      </c>
      <c r="C3" s="92">
        <v>17800000</v>
      </c>
      <c r="D3" s="10">
        <f t="shared" si="0"/>
        <v>0.42134831460674155</v>
      </c>
    </row>
    <row r="4" spans="1:4" ht="15.75" customHeight="1">
      <c r="A4" s="25" t="s">
        <v>59</v>
      </c>
      <c r="B4" s="92">
        <v>3400000</v>
      </c>
      <c r="C4" s="92">
        <v>9800000</v>
      </c>
      <c r="D4" s="10">
        <f t="shared" si="0"/>
        <v>0.3469387755102041</v>
      </c>
    </row>
    <row r="5" spans="1:4" ht="15.75" customHeight="1">
      <c r="A5" s="25" t="s">
        <v>60</v>
      </c>
      <c r="B5" s="92">
        <v>9000000</v>
      </c>
      <c r="C5" s="92">
        <v>8300000</v>
      </c>
      <c r="D5" s="10">
        <f t="shared" si="0"/>
        <v>1.0843373493975903</v>
      </c>
    </row>
    <row r="6" spans="1:4" ht="15.75" customHeight="1">
      <c r="A6" s="25" t="s">
        <v>61</v>
      </c>
      <c r="B6" s="92">
        <v>4200000</v>
      </c>
      <c r="C6" s="92">
        <v>7500000</v>
      </c>
      <c r="D6" s="10">
        <f t="shared" si="0"/>
        <v>0.56</v>
      </c>
    </row>
    <row r="7" spans="1:4" ht="15.75" customHeight="1">
      <c r="A7" s="25" t="s">
        <v>62</v>
      </c>
      <c r="B7" s="92">
        <v>8500000</v>
      </c>
      <c r="C7" s="92">
        <v>7400000</v>
      </c>
      <c r="D7" s="10">
        <f t="shared" si="0"/>
        <v>1.1486486486486487</v>
      </c>
    </row>
    <row r="8" spans="1:4" ht="15.75" customHeight="1">
      <c r="A8" s="25" t="s">
        <v>63</v>
      </c>
      <c r="B8" s="92">
        <v>3600000</v>
      </c>
      <c r="C8" s="92">
        <v>5800000</v>
      </c>
      <c r="D8" s="10">
        <f t="shared" si="0"/>
        <v>0.6206896551724138</v>
      </c>
    </row>
    <row r="9" spans="1:4" ht="15.75" customHeight="1">
      <c r="A9" s="25" t="s">
        <v>64</v>
      </c>
      <c r="B9" s="92">
        <v>2500000</v>
      </c>
      <c r="C9" s="92">
        <v>5700000</v>
      </c>
      <c r="D9" s="10">
        <f t="shared" si="0"/>
        <v>0.43859649122807015</v>
      </c>
    </row>
    <row r="10" spans="1:6" ht="15.75" customHeight="1">
      <c r="A10" s="95" t="s">
        <v>65</v>
      </c>
      <c r="B10" s="96">
        <v>3800000</v>
      </c>
      <c r="C10" s="96">
        <v>4100000</v>
      </c>
      <c r="D10" s="97">
        <f t="shared" si="0"/>
        <v>0.926829268292683</v>
      </c>
      <c r="E10" s="96">
        <v>100000000</v>
      </c>
      <c r="F10" s="98">
        <f>E10/B10</f>
        <v>26.31578947368421</v>
      </c>
    </row>
    <row r="11" spans="1:6" ht="15.75" customHeight="1">
      <c r="A11" s="95" t="s">
        <v>66</v>
      </c>
      <c r="B11" s="96">
        <v>5000000</v>
      </c>
      <c r="C11" s="96">
        <v>3600000</v>
      </c>
      <c r="D11" s="97">
        <f t="shared" si="0"/>
        <v>1.3888888888888888</v>
      </c>
      <c r="E11" s="96">
        <v>60000000</v>
      </c>
      <c r="F11" s="98">
        <f>E11/B11</f>
        <v>12</v>
      </c>
    </row>
    <row r="12" spans="1:6" ht="15.75" customHeight="1">
      <c r="A12" s="95" t="s">
        <v>67</v>
      </c>
      <c r="B12" s="96">
        <v>2200000</v>
      </c>
      <c r="C12" s="96">
        <v>2000000</v>
      </c>
      <c r="D12" s="97">
        <f t="shared" si="0"/>
        <v>1.1</v>
      </c>
      <c r="E12" s="96">
        <v>38000000</v>
      </c>
      <c r="F12" s="98">
        <f>E12/B12</f>
        <v>17.272727272727273</v>
      </c>
    </row>
    <row r="13" spans="1:6" ht="15.75" customHeight="1">
      <c r="A13" s="95" t="s">
        <v>68</v>
      </c>
      <c r="B13" s="96">
        <v>2900000</v>
      </c>
      <c r="C13" s="96">
        <v>1700000</v>
      </c>
      <c r="D13" s="97">
        <f t="shared" si="0"/>
        <v>1.7058823529411764</v>
      </c>
      <c r="E13" s="96">
        <v>25000000</v>
      </c>
      <c r="F13" s="98">
        <f>E13/B13</f>
        <v>8.620689655172415</v>
      </c>
    </row>
    <row r="14" spans="4:6" ht="15.75" customHeight="1">
      <c r="D14" s="10">
        <f>SUMPRODUCT(C10:C13,D10:D13)/SUM(C10:C13)</f>
        <v>1.219298245614035</v>
      </c>
      <c r="F14" s="92">
        <f>SUMPRODUCT(E10:E13,F10:F13)/SUM(E10:E13)</f>
        <v>18.939281726956807</v>
      </c>
    </row>
    <row r="15" spans="2:6" ht="15.75" customHeight="1">
      <c r="B15" s="25" t="s">
        <v>319</v>
      </c>
      <c r="C15" s="25" t="s">
        <v>69</v>
      </c>
      <c r="D15" s="93">
        <f>D14*0.2</f>
        <v>0.24385964912280703</v>
      </c>
      <c r="F15" s="94">
        <f>F14*0.2</f>
        <v>3.7878563453913614</v>
      </c>
    </row>
    <row r="16" spans="2:6" ht="15.75" customHeight="1">
      <c r="B16" s="25" t="s">
        <v>320</v>
      </c>
      <c r="C16" s="25" t="s">
        <v>70</v>
      </c>
      <c r="D16" s="93">
        <f>D14*0.4</f>
        <v>0.48771929824561405</v>
      </c>
      <c r="F16" s="94">
        <f>F14*0.4</f>
        <v>7.575712690782723</v>
      </c>
    </row>
    <row r="17" spans="2:6" ht="15.75" customHeight="1">
      <c r="B17" s="25" t="s">
        <v>321</v>
      </c>
      <c r="C17" s="25" t="s">
        <v>71</v>
      </c>
      <c r="D17" s="93">
        <f>D14*0.6</f>
        <v>0.731578947368421</v>
      </c>
      <c r="F17" s="94">
        <f>F14*0.6</f>
        <v>11.363569036174084</v>
      </c>
    </row>
    <row r="19" ht="12.75">
      <c r="D19" s="10"/>
    </row>
    <row r="20" ht="12.75">
      <c r="A20" s="25" t="s">
        <v>72</v>
      </c>
    </row>
    <row r="21" ht="12.75">
      <c r="A21" s="30" t="s">
        <v>73</v>
      </c>
    </row>
    <row r="22" ht="12.75">
      <c r="A22" s="25" t="s">
        <v>74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J160"/>
  <sheetViews>
    <sheetView zoomScale="110" zoomScaleNormal="110" workbookViewId="0" topLeftCell="A93">
      <selection activeCell="A49" sqref="A49:IV49"/>
    </sheetView>
  </sheetViews>
  <sheetFormatPr defaultColWidth="8.8515625" defaultRowHeight="12.75" customHeight="1"/>
  <cols>
    <col min="1" max="1" width="29.8515625" style="25" customWidth="1"/>
    <col min="2" max="2" width="11.00390625" style="25" customWidth="1"/>
    <col min="3" max="4" width="6.8515625" style="25" bestFit="1" customWidth="1"/>
    <col min="5" max="5" width="1.28515625" style="25" customWidth="1"/>
    <col min="6" max="7" width="12.28125" style="25" customWidth="1"/>
    <col min="8" max="8" width="12.421875" style="25" customWidth="1"/>
    <col min="9" max="9" width="12.8515625" style="25" customWidth="1"/>
    <col min="10" max="10" width="1.28515625" style="25" customWidth="1"/>
    <col min="11" max="11" width="21.00390625" style="25" bestFit="1" customWidth="1"/>
    <col min="12" max="13" width="12.8515625" style="25" bestFit="1" customWidth="1"/>
    <col min="14" max="14" width="1.1484375" style="25" customWidth="1"/>
    <col min="15" max="15" width="6.8515625" style="25" customWidth="1"/>
    <col min="16" max="16" width="7.28125" style="25" bestFit="1" customWidth="1"/>
    <col min="17" max="17" width="6.421875" style="25" bestFit="1" customWidth="1"/>
    <col min="18" max="18" width="6.00390625" style="25" bestFit="1" customWidth="1"/>
    <col min="19" max="20" width="7.00390625" style="25" bestFit="1" customWidth="1"/>
    <col min="21" max="22" width="6.421875" style="25" bestFit="1" customWidth="1"/>
    <col min="23" max="50" width="6.421875" style="25" customWidth="1"/>
    <col min="51" max="51" width="1.421875" style="25" customWidth="1"/>
    <col min="52" max="62" width="11.28125" style="25" bestFit="1" customWidth="1"/>
    <col min="63" max="63" width="11.421875" style="25" bestFit="1" customWidth="1"/>
    <col min="64" max="64" width="10.00390625" style="25" customWidth="1"/>
    <col min="65" max="76" width="11.28125" style="25" bestFit="1" customWidth="1"/>
    <col min="77" max="77" width="9.7109375" style="25" bestFit="1" customWidth="1"/>
    <col min="78" max="87" width="11.28125" style="25" bestFit="1" customWidth="1"/>
    <col min="88" max="16384" width="11.421875" style="25" customWidth="1"/>
  </cols>
  <sheetData>
    <row r="1" ht="12.75" customHeight="1">
      <c r="A1" s="99" t="s">
        <v>247</v>
      </c>
    </row>
    <row r="2" ht="12.75" customHeight="1" thickBot="1"/>
    <row r="3" spans="1:4" ht="12.75" customHeight="1">
      <c r="A3" s="230" t="s">
        <v>270</v>
      </c>
      <c r="B3" s="231" t="s">
        <v>319</v>
      </c>
      <c r="C3" s="231" t="s">
        <v>320</v>
      </c>
      <c r="D3" s="232" t="s">
        <v>321</v>
      </c>
    </row>
    <row r="4" spans="1:4" ht="12.75" customHeight="1">
      <c r="A4" s="32" t="s">
        <v>337</v>
      </c>
      <c r="B4" s="26"/>
      <c r="C4" s="17">
        <v>0.02</v>
      </c>
      <c r="D4" s="18">
        <v>0.02</v>
      </c>
    </row>
    <row r="5" spans="1:4" ht="12.75" customHeight="1" thickBot="1">
      <c r="A5" s="159" t="s">
        <v>248</v>
      </c>
      <c r="B5" s="206">
        <v>0.25</v>
      </c>
      <c r="C5" s="206">
        <v>0.25</v>
      </c>
      <c r="D5" s="229">
        <v>0.25</v>
      </c>
    </row>
    <row r="6" spans="1:5" ht="12.75" customHeight="1" thickBot="1">
      <c r="A6" s="26"/>
      <c r="B6" s="17"/>
      <c r="C6" s="17"/>
      <c r="D6" s="17"/>
      <c r="E6" s="26"/>
    </row>
    <row r="7" spans="1:5" ht="12.75" customHeight="1" thickBot="1">
      <c r="A7" s="207" t="s">
        <v>181</v>
      </c>
      <c r="B7" s="233"/>
      <c r="C7" s="17"/>
      <c r="D7" s="17"/>
      <c r="E7" s="45"/>
    </row>
    <row r="8" spans="1:5" ht="12.75" customHeight="1" thickBot="1">
      <c r="A8" s="207"/>
      <c r="B8" s="17"/>
      <c r="C8" s="17"/>
      <c r="D8" s="17"/>
      <c r="E8" s="45"/>
    </row>
    <row r="9" spans="1:87" s="167" customFormat="1" ht="27.75" customHeight="1" thickBot="1">
      <c r="A9" s="250" t="s">
        <v>249</v>
      </c>
      <c r="B9" s="251"/>
      <c r="C9" s="251"/>
      <c r="D9" s="251"/>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3"/>
    </row>
    <row r="10" spans="15:52" s="167" customFormat="1" ht="12" customHeight="1" thickBot="1">
      <c r="O10" s="167" t="s">
        <v>333</v>
      </c>
      <c r="AZ10" s="167" t="s">
        <v>269</v>
      </c>
    </row>
    <row r="11" spans="2:87" ht="12.75" customHeight="1">
      <c r="B11" s="208" t="s">
        <v>333</v>
      </c>
      <c r="C11" s="209"/>
      <c r="D11" s="209"/>
      <c r="E11" s="254"/>
      <c r="F11" s="208" t="s">
        <v>269</v>
      </c>
      <c r="G11" s="209"/>
      <c r="H11" s="209"/>
      <c r="I11" s="209"/>
      <c r="J11" s="254"/>
      <c r="K11" s="208" t="s">
        <v>154</v>
      </c>
      <c r="L11" s="209"/>
      <c r="M11" s="209"/>
      <c r="N11" s="254"/>
      <c r="O11" s="54" t="s">
        <v>319</v>
      </c>
      <c r="P11" s="54"/>
      <c r="Q11" s="54"/>
      <c r="R11" s="54"/>
      <c r="S11" s="54"/>
      <c r="T11" s="54"/>
      <c r="U11" s="54"/>
      <c r="V11" s="54"/>
      <c r="W11" s="54"/>
      <c r="X11" s="54"/>
      <c r="Y11" s="54"/>
      <c r="Z11" s="54"/>
      <c r="AA11" s="54" t="s">
        <v>320</v>
      </c>
      <c r="AB11" s="54"/>
      <c r="AC11" s="54"/>
      <c r="AD11" s="54"/>
      <c r="AE11" s="54"/>
      <c r="AF11" s="54"/>
      <c r="AG11" s="54"/>
      <c r="AH11" s="54"/>
      <c r="AI11" s="54"/>
      <c r="AJ11" s="54"/>
      <c r="AK11" s="54"/>
      <c r="AL11" s="54"/>
      <c r="AM11" s="54" t="s">
        <v>321</v>
      </c>
      <c r="AN11" s="54"/>
      <c r="AO11" s="54"/>
      <c r="AP11" s="54"/>
      <c r="AQ11" s="54"/>
      <c r="AR11" s="54"/>
      <c r="AS11" s="54"/>
      <c r="AT11" s="54"/>
      <c r="AU11" s="54"/>
      <c r="AV11" s="54"/>
      <c r="AW11" s="54"/>
      <c r="AX11" s="54"/>
      <c r="AY11" s="209"/>
      <c r="AZ11" s="255" t="s">
        <v>319</v>
      </c>
      <c r="BA11" s="209"/>
      <c r="BB11" s="209"/>
      <c r="BC11" s="209"/>
      <c r="BD11" s="54"/>
      <c r="BE11" s="54"/>
      <c r="BF11" s="54"/>
      <c r="BG11" s="54"/>
      <c r="BH11" s="54"/>
      <c r="BI11" s="54"/>
      <c r="BJ11" s="54"/>
      <c r="BK11" s="54"/>
      <c r="BL11" s="255" t="s">
        <v>320</v>
      </c>
      <c r="BM11" s="209"/>
      <c r="BN11" s="209"/>
      <c r="BO11" s="209"/>
      <c r="BP11" s="54"/>
      <c r="BQ11" s="54"/>
      <c r="BR11" s="54"/>
      <c r="BS11" s="54"/>
      <c r="BT11" s="54"/>
      <c r="BU11" s="54"/>
      <c r="BV11" s="54"/>
      <c r="BW11" s="54"/>
      <c r="BX11" s="255" t="s">
        <v>321</v>
      </c>
      <c r="BY11" s="209"/>
      <c r="BZ11" s="209"/>
      <c r="CA11" s="209"/>
      <c r="CB11" s="54"/>
      <c r="CC11" s="54"/>
      <c r="CD11" s="54"/>
      <c r="CE11" s="54"/>
      <c r="CF11" s="54"/>
      <c r="CG11" s="54"/>
      <c r="CH11" s="54"/>
      <c r="CI11" s="39"/>
    </row>
    <row r="12" spans="2:87" ht="12.75" customHeight="1">
      <c r="B12" s="32" t="s">
        <v>319</v>
      </c>
      <c r="C12" s="26" t="s">
        <v>320</v>
      </c>
      <c r="D12" s="26" t="s">
        <v>321</v>
      </c>
      <c r="E12" s="246"/>
      <c r="F12" s="210" t="s">
        <v>250</v>
      </c>
      <c r="G12" s="55" t="s">
        <v>319</v>
      </c>
      <c r="H12" s="55" t="s">
        <v>320</v>
      </c>
      <c r="I12" s="55" t="s">
        <v>321</v>
      </c>
      <c r="J12" s="246"/>
      <c r="K12" s="32" t="s">
        <v>319</v>
      </c>
      <c r="L12" s="26" t="s">
        <v>320</v>
      </c>
      <c r="M12" s="26" t="s">
        <v>321</v>
      </c>
      <c r="N12" s="246"/>
      <c r="O12" s="41" t="s">
        <v>323</v>
      </c>
      <c r="P12" s="41" t="s">
        <v>324</v>
      </c>
      <c r="Q12" s="41" t="s">
        <v>325</v>
      </c>
      <c r="R12" s="41" t="s">
        <v>326</v>
      </c>
      <c r="S12" s="41" t="s">
        <v>130</v>
      </c>
      <c r="T12" s="41" t="s">
        <v>131</v>
      </c>
      <c r="U12" s="41" t="s">
        <v>132</v>
      </c>
      <c r="V12" s="41" t="s">
        <v>133</v>
      </c>
      <c r="W12" s="41" t="s">
        <v>134</v>
      </c>
      <c r="X12" s="41" t="s">
        <v>135</v>
      </c>
      <c r="Y12" s="41" t="s">
        <v>136</v>
      </c>
      <c r="Z12" s="41" t="s">
        <v>137</v>
      </c>
      <c r="AA12" s="41" t="s">
        <v>323</v>
      </c>
      <c r="AB12" s="41" t="s">
        <v>324</v>
      </c>
      <c r="AC12" s="41" t="s">
        <v>325</v>
      </c>
      <c r="AD12" s="41" t="s">
        <v>326</v>
      </c>
      <c r="AE12" s="41" t="s">
        <v>130</v>
      </c>
      <c r="AF12" s="41" t="s">
        <v>131</v>
      </c>
      <c r="AG12" s="41" t="s">
        <v>132</v>
      </c>
      <c r="AH12" s="41" t="s">
        <v>133</v>
      </c>
      <c r="AI12" s="41" t="s">
        <v>134</v>
      </c>
      <c r="AJ12" s="41" t="s">
        <v>135</v>
      </c>
      <c r="AK12" s="41" t="s">
        <v>136</v>
      </c>
      <c r="AL12" s="41" t="s">
        <v>137</v>
      </c>
      <c r="AM12" s="43" t="s">
        <v>323</v>
      </c>
      <c r="AN12" s="43" t="s">
        <v>324</v>
      </c>
      <c r="AO12" s="43" t="s">
        <v>325</v>
      </c>
      <c r="AP12" s="43" t="s">
        <v>326</v>
      </c>
      <c r="AQ12" s="43" t="s">
        <v>130</v>
      </c>
      <c r="AR12" s="43" t="s">
        <v>131</v>
      </c>
      <c r="AS12" s="43" t="s">
        <v>132</v>
      </c>
      <c r="AT12" s="43" t="s">
        <v>133</v>
      </c>
      <c r="AU12" s="43" t="s">
        <v>134</v>
      </c>
      <c r="AV12" s="43" t="s">
        <v>135</v>
      </c>
      <c r="AW12" s="43" t="s">
        <v>136</v>
      </c>
      <c r="AX12" s="43" t="s">
        <v>137</v>
      </c>
      <c r="AY12" s="26"/>
      <c r="AZ12" s="41" t="s">
        <v>323</v>
      </c>
      <c r="BA12" s="41" t="s">
        <v>324</v>
      </c>
      <c r="BB12" s="41" t="s">
        <v>325</v>
      </c>
      <c r="BC12" s="41" t="s">
        <v>326</v>
      </c>
      <c r="BD12" s="41" t="s">
        <v>130</v>
      </c>
      <c r="BE12" s="41" t="s">
        <v>131</v>
      </c>
      <c r="BF12" s="41" t="s">
        <v>132</v>
      </c>
      <c r="BG12" s="41" t="s">
        <v>133</v>
      </c>
      <c r="BH12" s="41" t="s">
        <v>134</v>
      </c>
      <c r="BI12" s="41" t="s">
        <v>135</v>
      </c>
      <c r="BJ12" s="41" t="s">
        <v>136</v>
      </c>
      <c r="BK12" s="41" t="s">
        <v>137</v>
      </c>
      <c r="BL12" s="41" t="s">
        <v>323</v>
      </c>
      <c r="BM12" s="41" t="s">
        <v>324</v>
      </c>
      <c r="BN12" s="41" t="s">
        <v>325</v>
      </c>
      <c r="BO12" s="41" t="s">
        <v>326</v>
      </c>
      <c r="BP12" s="41" t="s">
        <v>130</v>
      </c>
      <c r="BQ12" s="41" t="s">
        <v>131</v>
      </c>
      <c r="BR12" s="41" t="s">
        <v>132</v>
      </c>
      <c r="BS12" s="41" t="s">
        <v>133</v>
      </c>
      <c r="BT12" s="41" t="s">
        <v>134</v>
      </c>
      <c r="BU12" s="41" t="s">
        <v>135</v>
      </c>
      <c r="BV12" s="41" t="s">
        <v>136</v>
      </c>
      <c r="BW12" s="41" t="s">
        <v>137</v>
      </c>
      <c r="BX12" s="43" t="s">
        <v>323</v>
      </c>
      <c r="BY12" s="43" t="s">
        <v>324</v>
      </c>
      <c r="BZ12" s="43" t="s">
        <v>325</v>
      </c>
      <c r="CA12" s="43" t="s">
        <v>326</v>
      </c>
      <c r="CB12" s="43" t="s">
        <v>130</v>
      </c>
      <c r="CC12" s="43" t="s">
        <v>131</v>
      </c>
      <c r="CD12" s="43" t="s">
        <v>132</v>
      </c>
      <c r="CE12" s="43" t="s">
        <v>133</v>
      </c>
      <c r="CF12" s="43" t="s">
        <v>134</v>
      </c>
      <c r="CG12" s="43" t="s">
        <v>135</v>
      </c>
      <c r="CH12" s="43" t="s">
        <v>136</v>
      </c>
      <c r="CI12" s="106" t="s">
        <v>137</v>
      </c>
    </row>
    <row r="13" spans="1:87" ht="12.75" customHeight="1">
      <c r="A13" s="99" t="s">
        <v>145</v>
      </c>
      <c r="B13" s="32"/>
      <c r="C13" s="26"/>
      <c r="D13" s="26"/>
      <c r="E13" s="246"/>
      <c r="F13" s="111"/>
      <c r="G13" s="23"/>
      <c r="H13" s="23"/>
      <c r="I13" s="23"/>
      <c r="J13" s="246"/>
      <c r="K13" s="32"/>
      <c r="L13" s="26"/>
      <c r="M13" s="26"/>
      <c r="N13" s="24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112"/>
    </row>
    <row r="14" spans="1:87" ht="12.75" customHeight="1">
      <c r="A14" s="25" t="s">
        <v>251</v>
      </c>
      <c r="B14" s="211">
        <f>B59+B118+B119</f>
        <v>20</v>
      </c>
      <c r="C14" s="45">
        <f>C59+C118+C119</f>
        <v>30</v>
      </c>
      <c r="D14" s="45">
        <f>D59+D118+D119</f>
        <v>41</v>
      </c>
      <c r="E14" s="246"/>
      <c r="F14" s="212">
        <f>F59</f>
        <v>78000</v>
      </c>
      <c r="G14" s="23">
        <f>F14</f>
        <v>78000</v>
      </c>
      <c r="H14" s="23">
        <f>G14*(1+C4)</f>
        <v>79560</v>
      </c>
      <c r="I14" s="23">
        <f>H14*(1+D4)</f>
        <v>81151.2</v>
      </c>
      <c r="J14" s="246"/>
      <c r="K14" s="158">
        <f>SUM(AZ14:BK14)</f>
        <v>1560000</v>
      </c>
      <c r="L14" s="153">
        <f>SUM(BL14:BW14)</f>
        <v>2386800</v>
      </c>
      <c r="M14" s="153">
        <f>SUM(BX14:CI14)</f>
        <v>3327199.2000000007</v>
      </c>
      <c r="N14" s="246"/>
      <c r="O14" s="26">
        <f>$B$14</f>
        <v>20</v>
      </c>
      <c r="P14" s="26">
        <f aca="true" t="shared" si="0" ref="P14:Z14">$B$14</f>
        <v>20</v>
      </c>
      <c r="Q14" s="26">
        <f t="shared" si="0"/>
        <v>20</v>
      </c>
      <c r="R14" s="26">
        <f t="shared" si="0"/>
        <v>20</v>
      </c>
      <c r="S14" s="26">
        <f t="shared" si="0"/>
        <v>20</v>
      </c>
      <c r="T14" s="26">
        <f t="shared" si="0"/>
        <v>20</v>
      </c>
      <c r="U14" s="26">
        <f t="shared" si="0"/>
        <v>20</v>
      </c>
      <c r="V14" s="26">
        <f t="shared" si="0"/>
        <v>20</v>
      </c>
      <c r="W14" s="26">
        <f t="shared" si="0"/>
        <v>20</v>
      </c>
      <c r="X14" s="26">
        <f t="shared" si="0"/>
        <v>20</v>
      </c>
      <c r="Y14" s="26">
        <f t="shared" si="0"/>
        <v>20</v>
      </c>
      <c r="Z14" s="26">
        <f t="shared" si="0"/>
        <v>20</v>
      </c>
      <c r="AA14" s="26">
        <f>$C$14</f>
        <v>30</v>
      </c>
      <c r="AB14" s="26">
        <f aca="true" t="shared" si="1" ref="AB14:AL14">$C$14</f>
        <v>30</v>
      </c>
      <c r="AC14" s="26">
        <f t="shared" si="1"/>
        <v>30</v>
      </c>
      <c r="AD14" s="26">
        <f t="shared" si="1"/>
        <v>30</v>
      </c>
      <c r="AE14" s="26">
        <f t="shared" si="1"/>
        <v>30</v>
      </c>
      <c r="AF14" s="26">
        <f t="shared" si="1"/>
        <v>30</v>
      </c>
      <c r="AG14" s="26">
        <f t="shared" si="1"/>
        <v>30</v>
      </c>
      <c r="AH14" s="26">
        <f t="shared" si="1"/>
        <v>30</v>
      </c>
      <c r="AI14" s="26">
        <f t="shared" si="1"/>
        <v>30</v>
      </c>
      <c r="AJ14" s="26">
        <f t="shared" si="1"/>
        <v>30</v>
      </c>
      <c r="AK14" s="26">
        <f t="shared" si="1"/>
        <v>30</v>
      </c>
      <c r="AL14" s="26">
        <f t="shared" si="1"/>
        <v>30</v>
      </c>
      <c r="AM14" s="26">
        <f>$D$14</f>
        <v>41</v>
      </c>
      <c r="AN14" s="26">
        <f aca="true" t="shared" si="2" ref="AN14:AX14">$D$14</f>
        <v>41</v>
      </c>
      <c r="AO14" s="26">
        <f t="shared" si="2"/>
        <v>41</v>
      </c>
      <c r="AP14" s="26">
        <f t="shared" si="2"/>
        <v>41</v>
      </c>
      <c r="AQ14" s="26">
        <f t="shared" si="2"/>
        <v>41</v>
      </c>
      <c r="AR14" s="26">
        <f t="shared" si="2"/>
        <v>41</v>
      </c>
      <c r="AS14" s="26">
        <f t="shared" si="2"/>
        <v>41</v>
      </c>
      <c r="AT14" s="26">
        <f t="shared" si="2"/>
        <v>41</v>
      </c>
      <c r="AU14" s="26">
        <f t="shared" si="2"/>
        <v>41</v>
      </c>
      <c r="AV14" s="26">
        <f t="shared" si="2"/>
        <v>41</v>
      </c>
      <c r="AW14" s="26">
        <f t="shared" si="2"/>
        <v>41</v>
      </c>
      <c r="AX14" s="26">
        <f t="shared" si="2"/>
        <v>41</v>
      </c>
      <c r="AY14" s="26"/>
      <c r="AZ14" s="23">
        <f>($G$14/12)*O14</f>
        <v>130000</v>
      </c>
      <c r="BA14" s="23">
        <f aca="true" t="shared" si="3" ref="BA14:BK14">($G$14/12)*P14</f>
        <v>130000</v>
      </c>
      <c r="BB14" s="23">
        <f t="shared" si="3"/>
        <v>130000</v>
      </c>
      <c r="BC14" s="23">
        <f t="shared" si="3"/>
        <v>130000</v>
      </c>
      <c r="BD14" s="23">
        <f t="shared" si="3"/>
        <v>130000</v>
      </c>
      <c r="BE14" s="23">
        <f t="shared" si="3"/>
        <v>130000</v>
      </c>
      <c r="BF14" s="23">
        <f t="shared" si="3"/>
        <v>130000</v>
      </c>
      <c r="BG14" s="23">
        <f t="shared" si="3"/>
        <v>130000</v>
      </c>
      <c r="BH14" s="23">
        <f t="shared" si="3"/>
        <v>130000</v>
      </c>
      <c r="BI14" s="23">
        <f t="shared" si="3"/>
        <v>130000</v>
      </c>
      <c r="BJ14" s="23">
        <f t="shared" si="3"/>
        <v>130000</v>
      </c>
      <c r="BK14" s="23">
        <f t="shared" si="3"/>
        <v>130000</v>
      </c>
      <c r="BL14" s="23">
        <f>($H$14/12)*AA14</f>
        <v>198900</v>
      </c>
      <c r="BM14" s="23">
        <f aca="true" t="shared" si="4" ref="BM14:BW14">($H$14/12)*AB14</f>
        <v>198900</v>
      </c>
      <c r="BN14" s="23">
        <f t="shared" si="4"/>
        <v>198900</v>
      </c>
      <c r="BO14" s="23">
        <f t="shared" si="4"/>
        <v>198900</v>
      </c>
      <c r="BP14" s="23">
        <f t="shared" si="4"/>
        <v>198900</v>
      </c>
      <c r="BQ14" s="23">
        <f t="shared" si="4"/>
        <v>198900</v>
      </c>
      <c r="BR14" s="23">
        <f t="shared" si="4"/>
        <v>198900</v>
      </c>
      <c r="BS14" s="23">
        <f t="shared" si="4"/>
        <v>198900</v>
      </c>
      <c r="BT14" s="23">
        <f t="shared" si="4"/>
        <v>198900</v>
      </c>
      <c r="BU14" s="23">
        <f t="shared" si="4"/>
        <v>198900</v>
      </c>
      <c r="BV14" s="23">
        <f t="shared" si="4"/>
        <v>198900</v>
      </c>
      <c r="BW14" s="23">
        <f t="shared" si="4"/>
        <v>198900</v>
      </c>
      <c r="BX14" s="23">
        <f>($I$14/12)*AM14</f>
        <v>277266.6</v>
      </c>
      <c r="BY14" s="23">
        <f aca="true" t="shared" si="5" ref="BY14:CI14">($I$14/12)*AN14</f>
        <v>277266.6</v>
      </c>
      <c r="BZ14" s="23">
        <f t="shared" si="5"/>
        <v>277266.6</v>
      </c>
      <c r="CA14" s="23">
        <f t="shared" si="5"/>
        <v>277266.6</v>
      </c>
      <c r="CB14" s="23">
        <f t="shared" si="5"/>
        <v>277266.6</v>
      </c>
      <c r="CC14" s="23">
        <f t="shared" si="5"/>
        <v>277266.6</v>
      </c>
      <c r="CD14" s="23">
        <f t="shared" si="5"/>
        <v>277266.6</v>
      </c>
      <c r="CE14" s="23">
        <f t="shared" si="5"/>
        <v>277266.6</v>
      </c>
      <c r="CF14" s="23">
        <f t="shared" si="5"/>
        <v>277266.6</v>
      </c>
      <c r="CG14" s="23">
        <f t="shared" si="5"/>
        <v>277266.6</v>
      </c>
      <c r="CH14" s="23">
        <f t="shared" si="5"/>
        <v>277266.6</v>
      </c>
      <c r="CI14" s="112">
        <f t="shared" si="5"/>
        <v>277266.6</v>
      </c>
    </row>
    <row r="15" spans="1:114" s="52" customFormat="1" ht="12.75" customHeight="1">
      <c r="A15" s="52" t="s">
        <v>252</v>
      </c>
      <c r="B15" s="33">
        <f>B60</f>
        <v>6</v>
      </c>
      <c r="C15" s="34">
        <f>C60</f>
        <v>6</v>
      </c>
      <c r="D15" s="34">
        <f>D60</f>
        <v>6</v>
      </c>
      <c r="E15" s="248"/>
      <c r="F15" s="213">
        <f>F60</f>
        <v>78000</v>
      </c>
      <c r="G15" s="116">
        <f>F15</f>
        <v>78000</v>
      </c>
      <c r="H15" s="116">
        <f>G15*(1+C4)</f>
        <v>79560</v>
      </c>
      <c r="I15" s="116">
        <f>H15*(1+D4)</f>
        <v>81151.2</v>
      </c>
      <c r="J15" s="248"/>
      <c r="K15" s="214">
        <f>SUM(AZ15:BK15)</f>
        <v>468000</v>
      </c>
      <c r="L15" s="215">
        <f>SUM(BL15:BW15)</f>
        <v>477360</v>
      </c>
      <c r="M15" s="215">
        <f>SUM(BX15:CI15)</f>
        <v>486907.1999999999</v>
      </c>
      <c r="N15" s="248"/>
      <c r="O15" s="52">
        <f>$B$15</f>
        <v>6</v>
      </c>
      <c r="P15" s="52">
        <f aca="true" t="shared" si="6" ref="P15:Z15">$B$15</f>
        <v>6</v>
      </c>
      <c r="Q15" s="52">
        <f t="shared" si="6"/>
        <v>6</v>
      </c>
      <c r="R15" s="52">
        <f t="shared" si="6"/>
        <v>6</v>
      </c>
      <c r="S15" s="52">
        <f t="shared" si="6"/>
        <v>6</v>
      </c>
      <c r="T15" s="52">
        <f t="shared" si="6"/>
        <v>6</v>
      </c>
      <c r="U15" s="52">
        <f t="shared" si="6"/>
        <v>6</v>
      </c>
      <c r="V15" s="52">
        <f t="shared" si="6"/>
        <v>6</v>
      </c>
      <c r="W15" s="52">
        <f t="shared" si="6"/>
        <v>6</v>
      </c>
      <c r="X15" s="52">
        <f t="shared" si="6"/>
        <v>6</v>
      </c>
      <c r="Y15" s="52">
        <f t="shared" si="6"/>
        <v>6</v>
      </c>
      <c r="Z15" s="52">
        <f t="shared" si="6"/>
        <v>6</v>
      </c>
      <c r="AA15" s="52">
        <f>$C$15</f>
        <v>6</v>
      </c>
      <c r="AB15" s="52">
        <f aca="true" t="shared" si="7" ref="AB15:AL15">$C$15</f>
        <v>6</v>
      </c>
      <c r="AC15" s="52">
        <f t="shared" si="7"/>
        <v>6</v>
      </c>
      <c r="AD15" s="52">
        <f t="shared" si="7"/>
        <v>6</v>
      </c>
      <c r="AE15" s="52">
        <f t="shared" si="7"/>
        <v>6</v>
      </c>
      <c r="AF15" s="52">
        <f t="shared" si="7"/>
        <v>6</v>
      </c>
      <c r="AG15" s="52">
        <f t="shared" si="7"/>
        <v>6</v>
      </c>
      <c r="AH15" s="52">
        <f t="shared" si="7"/>
        <v>6</v>
      </c>
      <c r="AI15" s="52">
        <f t="shared" si="7"/>
        <v>6</v>
      </c>
      <c r="AJ15" s="52">
        <f t="shared" si="7"/>
        <v>6</v>
      </c>
      <c r="AK15" s="52">
        <f t="shared" si="7"/>
        <v>6</v>
      </c>
      <c r="AL15" s="52">
        <f t="shared" si="7"/>
        <v>6</v>
      </c>
      <c r="AM15" s="52">
        <f>$D$15</f>
        <v>6</v>
      </c>
      <c r="AN15" s="52">
        <f aca="true" t="shared" si="8" ref="AN15:AX15">$D$15</f>
        <v>6</v>
      </c>
      <c r="AO15" s="52">
        <f t="shared" si="8"/>
        <v>6</v>
      </c>
      <c r="AP15" s="52">
        <f t="shared" si="8"/>
        <v>6</v>
      </c>
      <c r="AQ15" s="52">
        <f t="shared" si="8"/>
        <v>6</v>
      </c>
      <c r="AR15" s="52">
        <f t="shared" si="8"/>
        <v>6</v>
      </c>
      <c r="AS15" s="52">
        <f t="shared" si="8"/>
        <v>6</v>
      </c>
      <c r="AT15" s="52">
        <f t="shared" si="8"/>
        <v>6</v>
      </c>
      <c r="AU15" s="52">
        <f t="shared" si="8"/>
        <v>6</v>
      </c>
      <c r="AV15" s="52">
        <f t="shared" si="8"/>
        <v>6</v>
      </c>
      <c r="AW15" s="52">
        <f t="shared" si="8"/>
        <v>6</v>
      </c>
      <c r="AX15" s="52">
        <f t="shared" si="8"/>
        <v>6</v>
      </c>
      <c r="AZ15" s="116">
        <f>($G$15/12)*O15</f>
        <v>39000</v>
      </c>
      <c r="BA15" s="116">
        <f aca="true" t="shared" si="9" ref="BA15:BK15">($G$15/12)*P15</f>
        <v>39000</v>
      </c>
      <c r="BB15" s="116">
        <f t="shared" si="9"/>
        <v>39000</v>
      </c>
      <c r="BC15" s="116">
        <f t="shared" si="9"/>
        <v>39000</v>
      </c>
      <c r="BD15" s="116">
        <f t="shared" si="9"/>
        <v>39000</v>
      </c>
      <c r="BE15" s="116">
        <f t="shared" si="9"/>
        <v>39000</v>
      </c>
      <c r="BF15" s="116">
        <f t="shared" si="9"/>
        <v>39000</v>
      </c>
      <c r="BG15" s="116">
        <f t="shared" si="9"/>
        <v>39000</v>
      </c>
      <c r="BH15" s="116">
        <f t="shared" si="9"/>
        <v>39000</v>
      </c>
      <c r="BI15" s="116">
        <f t="shared" si="9"/>
        <v>39000</v>
      </c>
      <c r="BJ15" s="116">
        <f t="shared" si="9"/>
        <v>39000</v>
      </c>
      <c r="BK15" s="116">
        <f t="shared" si="9"/>
        <v>39000</v>
      </c>
      <c r="BL15" s="116">
        <f>($H$15/12)*AA15</f>
        <v>39780</v>
      </c>
      <c r="BM15" s="116">
        <f aca="true" t="shared" si="10" ref="BM15:BW15">($H$15/12)*AB15</f>
        <v>39780</v>
      </c>
      <c r="BN15" s="116">
        <f t="shared" si="10"/>
        <v>39780</v>
      </c>
      <c r="BO15" s="116">
        <f t="shared" si="10"/>
        <v>39780</v>
      </c>
      <c r="BP15" s="116">
        <f t="shared" si="10"/>
        <v>39780</v>
      </c>
      <c r="BQ15" s="116">
        <f t="shared" si="10"/>
        <v>39780</v>
      </c>
      <c r="BR15" s="116">
        <f t="shared" si="10"/>
        <v>39780</v>
      </c>
      <c r="BS15" s="116">
        <f t="shared" si="10"/>
        <v>39780</v>
      </c>
      <c r="BT15" s="116">
        <f t="shared" si="10"/>
        <v>39780</v>
      </c>
      <c r="BU15" s="116">
        <f t="shared" si="10"/>
        <v>39780</v>
      </c>
      <c r="BV15" s="116">
        <f t="shared" si="10"/>
        <v>39780</v>
      </c>
      <c r="BW15" s="116">
        <f t="shared" si="10"/>
        <v>39780</v>
      </c>
      <c r="BX15" s="116">
        <f>($I$15/12)*AM15</f>
        <v>40575.6</v>
      </c>
      <c r="BY15" s="116">
        <f aca="true" t="shared" si="11" ref="BY15:CI15">($I$15/12)*AN15</f>
        <v>40575.6</v>
      </c>
      <c r="BZ15" s="116">
        <f t="shared" si="11"/>
        <v>40575.6</v>
      </c>
      <c r="CA15" s="116">
        <f t="shared" si="11"/>
        <v>40575.6</v>
      </c>
      <c r="CB15" s="116">
        <f t="shared" si="11"/>
        <v>40575.6</v>
      </c>
      <c r="CC15" s="116">
        <f t="shared" si="11"/>
        <v>40575.6</v>
      </c>
      <c r="CD15" s="116">
        <f t="shared" si="11"/>
        <v>40575.6</v>
      </c>
      <c r="CE15" s="116">
        <f t="shared" si="11"/>
        <v>40575.6</v>
      </c>
      <c r="CF15" s="116">
        <f t="shared" si="11"/>
        <v>40575.6</v>
      </c>
      <c r="CG15" s="116">
        <f t="shared" si="11"/>
        <v>40575.6</v>
      </c>
      <c r="CH15" s="116">
        <f t="shared" si="11"/>
        <v>40575.6</v>
      </c>
      <c r="CI15" s="119">
        <f t="shared" si="11"/>
        <v>40575.6</v>
      </c>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row>
    <row r="16" spans="1:114" s="52" customFormat="1" ht="12.75" customHeight="1">
      <c r="A16" s="52" t="s">
        <v>318</v>
      </c>
      <c r="B16" s="33">
        <f>SUM(B14:B15)</f>
        <v>26</v>
      </c>
      <c r="C16" s="34">
        <f>SUM(C14:C15)</f>
        <v>36</v>
      </c>
      <c r="D16" s="34">
        <f>SUM(D14:D15)</f>
        <v>47</v>
      </c>
      <c r="E16" s="248"/>
      <c r="F16" s="213"/>
      <c r="G16" s="116"/>
      <c r="H16" s="116"/>
      <c r="I16" s="116"/>
      <c r="J16" s="248"/>
      <c r="K16" s="214">
        <f>SUM(K14:K15)</f>
        <v>2028000</v>
      </c>
      <c r="L16" s="215">
        <f>SUM(L14:L15)</f>
        <v>2864160</v>
      </c>
      <c r="M16" s="215">
        <f>SUM(M14:M15)</f>
        <v>3814106.4000000004</v>
      </c>
      <c r="N16" s="248"/>
      <c r="O16" s="52">
        <f aca="true" t="shared" si="12" ref="O16:AX16">SUM(O14:O15)</f>
        <v>26</v>
      </c>
      <c r="P16" s="52">
        <f t="shared" si="12"/>
        <v>26</v>
      </c>
      <c r="Q16" s="52">
        <f t="shared" si="12"/>
        <v>26</v>
      </c>
      <c r="R16" s="52">
        <f t="shared" si="12"/>
        <v>26</v>
      </c>
      <c r="S16" s="52">
        <f t="shared" si="12"/>
        <v>26</v>
      </c>
      <c r="T16" s="52">
        <f t="shared" si="12"/>
        <v>26</v>
      </c>
      <c r="U16" s="52">
        <f t="shared" si="12"/>
        <v>26</v>
      </c>
      <c r="V16" s="52">
        <f t="shared" si="12"/>
        <v>26</v>
      </c>
      <c r="W16" s="52">
        <f t="shared" si="12"/>
        <v>26</v>
      </c>
      <c r="X16" s="52">
        <f t="shared" si="12"/>
        <v>26</v>
      </c>
      <c r="Y16" s="52">
        <f t="shared" si="12"/>
        <v>26</v>
      </c>
      <c r="Z16" s="52">
        <f t="shared" si="12"/>
        <v>26</v>
      </c>
      <c r="AA16" s="52">
        <f t="shared" si="12"/>
        <v>36</v>
      </c>
      <c r="AB16" s="52">
        <f t="shared" si="12"/>
        <v>36</v>
      </c>
      <c r="AC16" s="52">
        <f t="shared" si="12"/>
        <v>36</v>
      </c>
      <c r="AD16" s="52">
        <f t="shared" si="12"/>
        <v>36</v>
      </c>
      <c r="AE16" s="52">
        <f t="shared" si="12"/>
        <v>36</v>
      </c>
      <c r="AF16" s="52">
        <f t="shared" si="12"/>
        <v>36</v>
      </c>
      <c r="AG16" s="52">
        <f t="shared" si="12"/>
        <v>36</v>
      </c>
      <c r="AH16" s="52">
        <f t="shared" si="12"/>
        <v>36</v>
      </c>
      <c r="AI16" s="52">
        <f t="shared" si="12"/>
        <v>36</v>
      </c>
      <c r="AJ16" s="52">
        <f t="shared" si="12"/>
        <v>36</v>
      </c>
      <c r="AK16" s="52">
        <f t="shared" si="12"/>
        <v>36</v>
      </c>
      <c r="AL16" s="52">
        <f t="shared" si="12"/>
        <v>36</v>
      </c>
      <c r="AM16" s="52">
        <f t="shared" si="12"/>
        <v>47</v>
      </c>
      <c r="AN16" s="52">
        <f t="shared" si="12"/>
        <v>47</v>
      </c>
      <c r="AO16" s="52">
        <f t="shared" si="12"/>
        <v>47</v>
      </c>
      <c r="AP16" s="52">
        <f t="shared" si="12"/>
        <v>47</v>
      </c>
      <c r="AQ16" s="52">
        <f t="shared" si="12"/>
        <v>47</v>
      </c>
      <c r="AR16" s="52">
        <f t="shared" si="12"/>
        <v>47</v>
      </c>
      <c r="AS16" s="52">
        <f t="shared" si="12"/>
        <v>47</v>
      </c>
      <c r="AT16" s="52">
        <f t="shared" si="12"/>
        <v>47</v>
      </c>
      <c r="AU16" s="52">
        <f t="shared" si="12"/>
        <v>47</v>
      </c>
      <c r="AV16" s="52">
        <f t="shared" si="12"/>
        <v>47</v>
      </c>
      <c r="AW16" s="52">
        <f t="shared" si="12"/>
        <v>47</v>
      </c>
      <c r="AX16" s="52">
        <f t="shared" si="12"/>
        <v>47</v>
      </c>
      <c r="AZ16" s="116">
        <f aca="true" t="shared" si="13" ref="AZ16:CI16">SUM(AZ14:AZ15)</f>
        <v>169000</v>
      </c>
      <c r="BA16" s="116">
        <f t="shared" si="13"/>
        <v>169000</v>
      </c>
      <c r="BB16" s="116">
        <f t="shared" si="13"/>
        <v>169000</v>
      </c>
      <c r="BC16" s="116">
        <f t="shared" si="13"/>
        <v>169000</v>
      </c>
      <c r="BD16" s="116">
        <f t="shared" si="13"/>
        <v>169000</v>
      </c>
      <c r="BE16" s="116">
        <f t="shared" si="13"/>
        <v>169000</v>
      </c>
      <c r="BF16" s="116">
        <f t="shared" si="13"/>
        <v>169000</v>
      </c>
      <c r="BG16" s="116">
        <f t="shared" si="13"/>
        <v>169000</v>
      </c>
      <c r="BH16" s="116">
        <f t="shared" si="13"/>
        <v>169000</v>
      </c>
      <c r="BI16" s="116">
        <f t="shared" si="13"/>
        <v>169000</v>
      </c>
      <c r="BJ16" s="116">
        <f t="shared" si="13"/>
        <v>169000</v>
      </c>
      <c r="BK16" s="116">
        <f t="shared" si="13"/>
        <v>169000</v>
      </c>
      <c r="BL16" s="116">
        <f t="shared" si="13"/>
        <v>238680</v>
      </c>
      <c r="BM16" s="116">
        <f t="shared" si="13"/>
        <v>238680</v>
      </c>
      <c r="BN16" s="116">
        <f t="shared" si="13"/>
        <v>238680</v>
      </c>
      <c r="BO16" s="116">
        <f t="shared" si="13"/>
        <v>238680</v>
      </c>
      <c r="BP16" s="116">
        <f t="shared" si="13"/>
        <v>238680</v>
      </c>
      <c r="BQ16" s="116">
        <f t="shared" si="13"/>
        <v>238680</v>
      </c>
      <c r="BR16" s="116">
        <f t="shared" si="13"/>
        <v>238680</v>
      </c>
      <c r="BS16" s="116">
        <f t="shared" si="13"/>
        <v>238680</v>
      </c>
      <c r="BT16" s="116">
        <f t="shared" si="13"/>
        <v>238680</v>
      </c>
      <c r="BU16" s="116">
        <f t="shared" si="13"/>
        <v>238680</v>
      </c>
      <c r="BV16" s="116">
        <f t="shared" si="13"/>
        <v>238680</v>
      </c>
      <c r="BW16" s="116">
        <f t="shared" si="13"/>
        <v>238680</v>
      </c>
      <c r="BX16" s="116">
        <f t="shared" si="13"/>
        <v>317842.19999999995</v>
      </c>
      <c r="BY16" s="116">
        <f t="shared" si="13"/>
        <v>317842.19999999995</v>
      </c>
      <c r="BZ16" s="116">
        <f t="shared" si="13"/>
        <v>317842.19999999995</v>
      </c>
      <c r="CA16" s="116">
        <f t="shared" si="13"/>
        <v>317842.19999999995</v>
      </c>
      <c r="CB16" s="116">
        <f t="shared" si="13"/>
        <v>317842.19999999995</v>
      </c>
      <c r="CC16" s="116">
        <f t="shared" si="13"/>
        <v>317842.19999999995</v>
      </c>
      <c r="CD16" s="116">
        <f t="shared" si="13"/>
        <v>317842.19999999995</v>
      </c>
      <c r="CE16" s="116">
        <f t="shared" si="13"/>
        <v>317842.19999999995</v>
      </c>
      <c r="CF16" s="116">
        <f t="shared" si="13"/>
        <v>317842.19999999995</v>
      </c>
      <c r="CG16" s="116">
        <f t="shared" si="13"/>
        <v>317842.19999999995</v>
      </c>
      <c r="CH16" s="116">
        <f t="shared" si="13"/>
        <v>317842.19999999995</v>
      </c>
      <c r="CI16" s="119">
        <f t="shared" si="13"/>
        <v>317842.19999999995</v>
      </c>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row>
    <row r="17" spans="1:114" s="26" customFormat="1" ht="12.75" customHeight="1">
      <c r="A17" s="45" t="s">
        <v>196</v>
      </c>
      <c r="B17" s="211"/>
      <c r="C17" s="45"/>
      <c r="D17" s="45"/>
      <c r="E17" s="246"/>
      <c r="F17" s="212"/>
      <c r="G17" s="23"/>
      <c r="H17" s="23"/>
      <c r="I17" s="23"/>
      <c r="J17" s="246"/>
      <c r="K17" s="158">
        <f>K16*$B$5</f>
        <v>507000</v>
      </c>
      <c r="L17" s="153">
        <f>L16*$C$5</f>
        <v>716040</v>
      </c>
      <c r="M17" s="153">
        <f>M16*$D$5</f>
        <v>953526.6000000001</v>
      </c>
      <c r="N17" s="246"/>
      <c r="AZ17" s="23">
        <f>AZ16*$B$5</f>
        <v>42250</v>
      </c>
      <c r="BA17" s="23">
        <f>BA16*$B$5</f>
        <v>42250</v>
      </c>
      <c r="BB17" s="23">
        <f>BB16*$B$5</f>
        <v>42250</v>
      </c>
      <c r="BC17" s="23">
        <f>BC16*$B$5</f>
        <v>42250</v>
      </c>
      <c r="BD17" s="23">
        <f aca="true" t="shared" si="14" ref="BD17:BK17">BD16*$B$5</f>
        <v>42250</v>
      </c>
      <c r="BE17" s="23">
        <f t="shared" si="14"/>
        <v>42250</v>
      </c>
      <c r="BF17" s="23">
        <f t="shared" si="14"/>
        <v>42250</v>
      </c>
      <c r="BG17" s="23">
        <f t="shared" si="14"/>
        <v>42250</v>
      </c>
      <c r="BH17" s="23">
        <f t="shared" si="14"/>
        <v>42250</v>
      </c>
      <c r="BI17" s="23">
        <f t="shared" si="14"/>
        <v>42250</v>
      </c>
      <c r="BJ17" s="23">
        <f t="shared" si="14"/>
        <v>42250</v>
      </c>
      <c r="BK17" s="23">
        <f t="shared" si="14"/>
        <v>42250</v>
      </c>
      <c r="BL17" s="23">
        <f aca="true" t="shared" si="15" ref="BL17:BW17">BL16*$C$5</f>
        <v>59670</v>
      </c>
      <c r="BM17" s="23">
        <f t="shared" si="15"/>
        <v>59670</v>
      </c>
      <c r="BN17" s="23">
        <f t="shared" si="15"/>
        <v>59670</v>
      </c>
      <c r="BO17" s="23">
        <f t="shared" si="15"/>
        <v>59670</v>
      </c>
      <c r="BP17" s="23">
        <f t="shared" si="15"/>
        <v>59670</v>
      </c>
      <c r="BQ17" s="23">
        <f t="shared" si="15"/>
        <v>59670</v>
      </c>
      <c r="BR17" s="23">
        <f t="shared" si="15"/>
        <v>59670</v>
      </c>
      <c r="BS17" s="23">
        <f t="shared" si="15"/>
        <v>59670</v>
      </c>
      <c r="BT17" s="23">
        <f t="shared" si="15"/>
        <v>59670</v>
      </c>
      <c r="BU17" s="23">
        <f t="shared" si="15"/>
        <v>59670</v>
      </c>
      <c r="BV17" s="23">
        <f t="shared" si="15"/>
        <v>59670</v>
      </c>
      <c r="BW17" s="23">
        <f t="shared" si="15"/>
        <v>59670</v>
      </c>
      <c r="BX17" s="23">
        <f aca="true" t="shared" si="16" ref="BX17:CI17">BX16*$D$5</f>
        <v>79460.54999999999</v>
      </c>
      <c r="BY17" s="23">
        <f t="shared" si="16"/>
        <v>79460.54999999999</v>
      </c>
      <c r="BZ17" s="23">
        <f t="shared" si="16"/>
        <v>79460.54999999999</v>
      </c>
      <c r="CA17" s="23">
        <f t="shared" si="16"/>
        <v>79460.54999999999</v>
      </c>
      <c r="CB17" s="23">
        <f t="shared" si="16"/>
        <v>79460.54999999999</v>
      </c>
      <c r="CC17" s="23">
        <f t="shared" si="16"/>
        <v>79460.54999999999</v>
      </c>
      <c r="CD17" s="23">
        <f t="shared" si="16"/>
        <v>79460.54999999999</v>
      </c>
      <c r="CE17" s="23">
        <f t="shared" si="16"/>
        <v>79460.54999999999</v>
      </c>
      <c r="CF17" s="23">
        <f t="shared" si="16"/>
        <v>79460.54999999999</v>
      </c>
      <c r="CG17" s="23">
        <f t="shared" si="16"/>
        <v>79460.54999999999</v>
      </c>
      <c r="CH17" s="23">
        <f t="shared" si="16"/>
        <v>79460.54999999999</v>
      </c>
      <c r="CI17" s="112">
        <f t="shared" si="16"/>
        <v>79460.54999999999</v>
      </c>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row>
    <row r="18" spans="1:114" s="26" customFormat="1" ht="12.75" customHeight="1">
      <c r="A18" s="45" t="s">
        <v>339</v>
      </c>
      <c r="B18" s="211"/>
      <c r="C18" s="45"/>
      <c r="D18" s="45"/>
      <c r="E18" s="246"/>
      <c r="F18" s="212"/>
      <c r="G18" s="23"/>
      <c r="H18" s="23"/>
      <c r="I18" s="23"/>
      <c r="J18" s="246"/>
      <c r="K18" s="158">
        <f>K16+K17</f>
        <v>2535000</v>
      </c>
      <c r="L18" s="153">
        <f>L16+L17</f>
        <v>3580200</v>
      </c>
      <c r="M18" s="153">
        <f>M16+M17</f>
        <v>4767633</v>
      </c>
      <c r="N18" s="246"/>
      <c r="AZ18" s="23">
        <f>AZ16+AZ17</f>
        <v>211250</v>
      </c>
      <c r="BA18" s="23">
        <f aca="true" t="shared" si="17" ref="BA18:CI18">BA16+BA17</f>
        <v>211250</v>
      </c>
      <c r="BB18" s="23">
        <f t="shared" si="17"/>
        <v>211250</v>
      </c>
      <c r="BC18" s="23">
        <f t="shared" si="17"/>
        <v>211250</v>
      </c>
      <c r="BD18" s="23">
        <f t="shared" si="17"/>
        <v>211250</v>
      </c>
      <c r="BE18" s="23">
        <f t="shared" si="17"/>
        <v>211250</v>
      </c>
      <c r="BF18" s="23">
        <f t="shared" si="17"/>
        <v>211250</v>
      </c>
      <c r="BG18" s="23">
        <f t="shared" si="17"/>
        <v>211250</v>
      </c>
      <c r="BH18" s="23">
        <f t="shared" si="17"/>
        <v>211250</v>
      </c>
      <c r="BI18" s="23">
        <f t="shared" si="17"/>
        <v>211250</v>
      </c>
      <c r="BJ18" s="23">
        <f t="shared" si="17"/>
        <v>211250</v>
      </c>
      <c r="BK18" s="23">
        <f t="shared" si="17"/>
        <v>211250</v>
      </c>
      <c r="BL18" s="23">
        <f t="shared" si="17"/>
        <v>298350</v>
      </c>
      <c r="BM18" s="23">
        <f t="shared" si="17"/>
        <v>298350</v>
      </c>
      <c r="BN18" s="23">
        <f t="shared" si="17"/>
        <v>298350</v>
      </c>
      <c r="BO18" s="23">
        <f t="shared" si="17"/>
        <v>298350</v>
      </c>
      <c r="BP18" s="23">
        <f t="shared" si="17"/>
        <v>298350</v>
      </c>
      <c r="BQ18" s="23">
        <f t="shared" si="17"/>
        <v>298350</v>
      </c>
      <c r="BR18" s="23">
        <f t="shared" si="17"/>
        <v>298350</v>
      </c>
      <c r="BS18" s="23">
        <f t="shared" si="17"/>
        <v>298350</v>
      </c>
      <c r="BT18" s="23">
        <f t="shared" si="17"/>
        <v>298350</v>
      </c>
      <c r="BU18" s="23">
        <f t="shared" si="17"/>
        <v>298350</v>
      </c>
      <c r="BV18" s="23">
        <f t="shared" si="17"/>
        <v>298350</v>
      </c>
      <c r="BW18" s="23">
        <f t="shared" si="17"/>
        <v>298350</v>
      </c>
      <c r="BX18" s="23">
        <f t="shared" si="17"/>
        <v>397302.74999999994</v>
      </c>
      <c r="BY18" s="23">
        <f t="shared" si="17"/>
        <v>397302.74999999994</v>
      </c>
      <c r="BZ18" s="23">
        <f t="shared" si="17"/>
        <v>397302.74999999994</v>
      </c>
      <c r="CA18" s="23">
        <f t="shared" si="17"/>
        <v>397302.74999999994</v>
      </c>
      <c r="CB18" s="23">
        <f t="shared" si="17"/>
        <v>397302.74999999994</v>
      </c>
      <c r="CC18" s="23">
        <f t="shared" si="17"/>
        <v>397302.74999999994</v>
      </c>
      <c r="CD18" s="23">
        <f t="shared" si="17"/>
        <v>397302.74999999994</v>
      </c>
      <c r="CE18" s="23">
        <f t="shared" si="17"/>
        <v>397302.74999999994</v>
      </c>
      <c r="CF18" s="23">
        <f t="shared" si="17"/>
        <v>397302.74999999994</v>
      </c>
      <c r="CG18" s="23">
        <f t="shared" si="17"/>
        <v>397302.74999999994</v>
      </c>
      <c r="CH18" s="23">
        <f t="shared" si="17"/>
        <v>397302.74999999994</v>
      </c>
      <c r="CI18" s="112">
        <f t="shared" si="17"/>
        <v>397302.74999999994</v>
      </c>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row>
    <row r="19" spans="2:87" ht="12.75" customHeight="1">
      <c r="B19" s="211"/>
      <c r="C19" s="45"/>
      <c r="D19" s="45"/>
      <c r="E19" s="246"/>
      <c r="F19" s="212"/>
      <c r="G19" s="23"/>
      <c r="H19" s="23"/>
      <c r="I19" s="23"/>
      <c r="J19" s="246"/>
      <c r="K19" s="32"/>
      <c r="L19" s="26"/>
      <c r="M19" s="26"/>
      <c r="N19" s="24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112"/>
    </row>
    <row r="20" spans="1:87" ht="12.75" customHeight="1">
      <c r="A20" s="99" t="s">
        <v>149</v>
      </c>
      <c r="B20" s="211"/>
      <c r="C20" s="45"/>
      <c r="D20" s="45"/>
      <c r="E20" s="246"/>
      <c r="F20" s="212"/>
      <c r="G20" s="23"/>
      <c r="H20" s="23"/>
      <c r="I20" s="23"/>
      <c r="J20" s="246"/>
      <c r="K20" s="32"/>
      <c r="L20" s="26"/>
      <c r="M20" s="26"/>
      <c r="N20" s="24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112"/>
    </row>
    <row r="21" spans="1:87" s="26" customFormat="1" ht="12.75" customHeight="1">
      <c r="A21" s="26" t="s">
        <v>146</v>
      </c>
      <c r="B21" s="211">
        <f>B66</f>
        <v>1</v>
      </c>
      <c r="C21" s="45">
        <f>C66</f>
        <v>1</v>
      </c>
      <c r="D21" s="45">
        <f>D66</f>
        <v>1</v>
      </c>
      <c r="E21" s="246"/>
      <c r="F21" s="212">
        <f>F66</f>
        <v>78000</v>
      </c>
      <c r="G21" s="23">
        <f>F21</f>
        <v>78000</v>
      </c>
      <c r="H21" s="23">
        <f>G21*(1+$C$4)</f>
        <v>79560</v>
      </c>
      <c r="I21" s="23">
        <f>H21*(1+$D$4)</f>
        <v>81151.2</v>
      </c>
      <c r="J21" s="246"/>
      <c r="K21" s="158">
        <f>SUM(AZ21:BK21)</f>
        <v>78000</v>
      </c>
      <c r="L21" s="153">
        <f>SUM(BL21:BW21)</f>
        <v>79560</v>
      </c>
      <c r="M21" s="153">
        <f>SUM(BX21:CI21)</f>
        <v>81151.20000000001</v>
      </c>
      <c r="N21" s="246"/>
      <c r="O21" s="26">
        <f>$B$21</f>
        <v>1</v>
      </c>
      <c r="P21" s="26">
        <f aca="true" t="shared" si="18" ref="P21:Z21">$B$21</f>
        <v>1</v>
      </c>
      <c r="Q21" s="26">
        <f t="shared" si="18"/>
        <v>1</v>
      </c>
      <c r="R21" s="26">
        <f t="shared" si="18"/>
        <v>1</v>
      </c>
      <c r="S21" s="26">
        <f t="shared" si="18"/>
        <v>1</v>
      </c>
      <c r="T21" s="26">
        <f t="shared" si="18"/>
        <v>1</v>
      </c>
      <c r="U21" s="26">
        <f t="shared" si="18"/>
        <v>1</v>
      </c>
      <c r="V21" s="26">
        <f t="shared" si="18"/>
        <v>1</v>
      </c>
      <c r="W21" s="26">
        <f t="shared" si="18"/>
        <v>1</v>
      </c>
      <c r="X21" s="26">
        <f t="shared" si="18"/>
        <v>1</v>
      </c>
      <c r="Y21" s="26">
        <f t="shared" si="18"/>
        <v>1</v>
      </c>
      <c r="Z21" s="26">
        <f t="shared" si="18"/>
        <v>1</v>
      </c>
      <c r="AA21" s="26">
        <f>$C$21</f>
        <v>1</v>
      </c>
      <c r="AB21" s="26">
        <f aca="true" t="shared" si="19" ref="AB21:AL21">$C$21</f>
        <v>1</v>
      </c>
      <c r="AC21" s="26">
        <f t="shared" si="19"/>
        <v>1</v>
      </c>
      <c r="AD21" s="26">
        <f t="shared" si="19"/>
        <v>1</v>
      </c>
      <c r="AE21" s="26">
        <f t="shared" si="19"/>
        <v>1</v>
      </c>
      <c r="AF21" s="26">
        <f t="shared" si="19"/>
        <v>1</v>
      </c>
      <c r="AG21" s="26">
        <f t="shared" si="19"/>
        <v>1</v>
      </c>
      <c r="AH21" s="26">
        <f t="shared" si="19"/>
        <v>1</v>
      </c>
      <c r="AI21" s="26">
        <f t="shared" si="19"/>
        <v>1</v>
      </c>
      <c r="AJ21" s="26">
        <f t="shared" si="19"/>
        <v>1</v>
      </c>
      <c r="AK21" s="26">
        <f t="shared" si="19"/>
        <v>1</v>
      </c>
      <c r="AL21" s="26">
        <f t="shared" si="19"/>
        <v>1</v>
      </c>
      <c r="AM21" s="26">
        <f>$D$21</f>
        <v>1</v>
      </c>
      <c r="AN21" s="26">
        <f aca="true" t="shared" si="20" ref="AN21:AX21">$D$21</f>
        <v>1</v>
      </c>
      <c r="AO21" s="26">
        <f t="shared" si="20"/>
        <v>1</v>
      </c>
      <c r="AP21" s="26">
        <f t="shared" si="20"/>
        <v>1</v>
      </c>
      <c r="AQ21" s="26">
        <f t="shared" si="20"/>
        <v>1</v>
      </c>
      <c r="AR21" s="26">
        <f t="shared" si="20"/>
        <v>1</v>
      </c>
      <c r="AS21" s="26">
        <f t="shared" si="20"/>
        <v>1</v>
      </c>
      <c r="AT21" s="26">
        <f t="shared" si="20"/>
        <v>1</v>
      </c>
      <c r="AU21" s="26">
        <f t="shared" si="20"/>
        <v>1</v>
      </c>
      <c r="AV21" s="26">
        <f t="shared" si="20"/>
        <v>1</v>
      </c>
      <c r="AW21" s="26">
        <f t="shared" si="20"/>
        <v>1</v>
      </c>
      <c r="AX21" s="26">
        <f t="shared" si="20"/>
        <v>1</v>
      </c>
      <c r="AZ21" s="23">
        <f>($G$21/12)*O21</f>
        <v>6500</v>
      </c>
      <c r="BA21" s="23">
        <f aca="true" t="shared" si="21" ref="BA21:BK21">($G$21/12)*P21</f>
        <v>6500</v>
      </c>
      <c r="BB21" s="23">
        <f t="shared" si="21"/>
        <v>6500</v>
      </c>
      <c r="BC21" s="23">
        <f t="shared" si="21"/>
        <v>6500</v>
      </c>
      <c r="BD21" s="23">
        <f t="shared" si="21"/>
        <v>6500</v>
      </c>
      <c r="BE21" s="23">
        <f t="shared" si="21"/>
        <v>6500</v>
      </c>
      <c r="BF21" s="23">
        <f t="shared" si="21"/>
        <v>6500</v>
      </c>
      <c r="BG21" s="23">
        <f t="shared" si="21"/>
        <v>6500</v>
      </c>
      <c r="BH21" s="23">
        <f t="shared" si="21"/>
        <v>6500</v>
      </c>
      <c r="BI21" s="23">
        <f t="shared" si="21"/>
        <v>6500</v>
      </c>
      <c r="BJ21" s="23">
        <f t="shared" si="21"/>
        <v>6500</v>
      </c>
      <c r="BK21" s="23">
        <f t="shared" si="21"/>
        <v>6500</v>
      </c>
      <c r="BL21" s="23">
        <f>($H$21/12)*AA21</f>
        <v>6630</v>
      </c>
      <c r="BM21" s="23">
        <f aca="true" t="shared" si="22" ref="BM21:BW21">($H$21/12)*AB21</f>
        <v>6630</v>
      </c>
      <c r="BN21" s="23">
        <f t="shared" si="22"/>
        <v>6630</v>
      </c>
      <c r="BO21" s="23">
        <f t="shared" si="22"/>
        <v>6630</v>
      </c>
      <c r="BP21" s="23">
        <f t="shared" si="22"/>
        <v>6630</v>
      </c>
      <c r="BQ21" s="23">
        <f t="shared" si="22"/>
        <v>6630</v>
      </c>
      <c r="BR21" s="23">
        <f t="shared" si="22"/>
        <v>6630</v>
      </c>
      <c r="BS21" s="23">
        <f t="shared" si="22"/>
        <v>6630</v>
      </c>
      <c r="BT21" s="23">
        <f t="shared" si="22"/>
        <v>6630</v>
      </c>
      <c r="BU21" s="23">
        <f t="shared" si="22"/>
        <v>6630</v>
      </c>
      <c r="BV21" s="23">
        <f t="shared" si="22"/>
        <v>6630</v>
      </c>
      <c r="BW21" s="23">
        <f t="shared" si="22"/>
        <v>6630</v>
      </c>
      <c r="BX21" s="23">
        <f>($I$21/12)*AM21</f>
        <v>6762.599999999999</v>
      </c>
      <c r="BY21" s="23">
        <f aca="true" t="shared" si="23" ref="BY21:CI21">($I$21/12)*AN21</f>
        <v>6762.599999999999</v>
      </c>
      <c r="BZ21" s="23">
        <f t="shared" si="23"/>
        <v>6762.599999999999</v>
      </c>
      <c r="CA21" s="23">
        <f t="shared" si="23"/>
        <v>6762.599999999999</v>
      </c>
      <c r="CB21" s="23">
        <f t="shared" si="23"/>
        <v>6762.599999999999</v>
      </c>
      <c r="CC21" s="23">
        <f t="shared" si="23"/>
        <v>6762.599999999999</v>
      </c>
      <c r="CD21" s="23">
        <f t="shared" si="23"/>
        <v>6762.599999999999</v>
      </c>
      <c r="CE21" s="23">
        <f t="shared" si="23"/>
        <v>6762.599999999999</v>
      </c>
      <c r="CF21" s="23">
        <f t="shared" si="23"/>
        <v>6762.599999999999</v>
      </c>
      <c r="CG21" s="23">
        <f t="shared" si="23"/>
        <v>6762.599999999999</v>
      </c>
      <c r="CH21" s="23">
        <f t="shared" si="23"/>
        <v>6762.599999999999</v>
      </c>
      <c r="CI21" s="112">
        <f t="shared" si="23"/>
        <v>6762.599999999999</v>
      </c>
    </row>
    <row r="22" spans="1:87" s="26" customFormat="1" ht="12.75" customHeight="1">
      <c r="A22" s="45" t="s">
        <v>253</v>
      </c>
      <c r="B22" s="211">
        <f>B120</f>
        <v>0</v>
      </c>
      <c r="C22" s="45">
        <f>C120</f>
        <v>2</v>
      </c>
      <c r="D22" s="45">
        <f>D120</f>
        <v>6</v>
      </c>
      <c r="E22" s="246"/>
      <c r="F22" s="212">
        <f>F120</f>
        <v>24000</v>
      </c>
      <c r="G22" s="23">
        <f>F22</f>
        <v>24000</v>
      </c>
      <c r="H22" s="23">
        <f>G22*(1+$C$4)</f>
        <v>24480</v>
      </c>
      <c r="I22" s="23">
        <f>H22*(1+$D$4)</f>
        <v>24969.600000000002</v>
      </c>
      <c r="J22" s="246"/>
      <c r="K22" s="158"/>
      <c r="L22" s="153"/>
      <c r="M22" s="153"/>
      <c r="N22" s="246"/>
      <c r="O22" s="26">
        <f>$B$22</f>
        <v>0</v>
      </c>
      <c r="P22" s="26">
        <f aca="true" t="shared" si="24" ref="P22:Z22">$B$22</f>
        <v>0</v>
      </c>
      <c r="Q22" s="26">
        <f t="shared" si="24"/>
        <v>0</v>
      </c>
      <c r="R22" s="26">
        <f t="shared" si="24"/>
        <v>0</v>
      </c>
      <c r="S22" s="26">
        <f t="shared" si="24"/>
        <v>0</v>
      </c>
      <c r="T22" s="26">
        <f t="shared" si="24"/>
        <v>0</v>
      </c>
      <c r="U22" s="26">
        <f t="shared" si="24"/>
        <v>0</v>
      </c>
      <c r="V22" s="26">
        <f t="shared" si="24"/>
        <v>0</v>
      </c>
      <c r="W22" s="26">
        <f t="shared" si="24"/>
        <v>0</v>
      </c>
      <c r="X22" s="26">
        <f t="shared" si="24"/>
        <v>0</v>
      </c>
      <c r="Y22" s="26">
        <f t="shared" si="24"/>
        <v>0</v>
      </c>
      <c r="Z22" s="26">
        <f t="shared" si="24"/>
        <v>0</v>
      </c>
      <c r="AA22" s="26">
        <f>$C$22</f>
        <v>2</v>
      </c>
      <c r="AB22" s="26">
        <f aca="true" t="shared" si="25" ref="AB22:AL22">$C$22</f>
        <v>2</v>
      </c>
      <c r="AC22" s="26">
        <f t="shared" si="25"/>
        <v>2</v>
      </c>
      <c r="AD22" s="26">
        <f t="shared" si="25"/>
        <v>2</v>
      </c>
      <c r="AE22" s="26">
        <f t="shared" si="25"/>
        <v>2</v>
      </c>
      <c r="AF22" s="26">
        <f t="shared" si="25"/>
        <v>2</v>
      </c>
      <c r="AG22" s="26">
        <f t="shared" si="25"/>
        <v>2</v>
      </c>
      <c r="AH22" s="26">
        <f t="shared" si="25"/>
        <v>2</v>
      </c>
      <c r="AI22" s="26">
        <f t="shared" si="25"/>
        <v>2</v>
      </c>
      <c r="AJ22" s="26">
        <f t="shared" si="25"/>
        <v>2</v>
      </c>
      <c r="AK22" s="26">
        <f t="shared" si="25"/>
        <v>2</v>
      </c>
      <c r="AL22" s="26">
        <f t="shared" si="25"/>
        <v>2</v>
      </c>
      <c r="AM22" s="26">
        <f>$D$22</f>
        <v>6</v>
      </c>
      <c r="AN22" s="26">
        <f aca="true" t="shared" si="26" ref="AN22:AX22">$D$22</f>
        <v>6</v>
      </c>
      <c r="AO22" s="26">
        <f t="shared" si="26"/>
        <v>6</v>
      </c>
      <c r="AP22" s="26">
        <f t="shared" si="26"/>
        <v>6</v>
      </c>
      <c r="AQ22" s="26">
        <f t="shared" si="26"/>
        <v>6</v>
      </c>
      <c r="AR22" s="26">
        <f t="shared" si="26"/>
        <v>6</v>
      </c>
      <c r="AS22" s="26">
        <f t="shared" si="26"/>
        <v>6</v>
      </c>
      <c r="AT22" s="26">
        <f t="shared" si="26"/>
        <v>6</v>
      </c>
      <c r="AU22" s="26">
        <f t="shared" si="26"/>
        <v>6</v>
      </c>
      <c r="AV22" s="26">
        <f t="shared" si="26"/>
        <v>6</v>
      </c>
      <c r="AW22" s="26">
        <f t="shared" si="26"/>
        <v>6</v>
      </c>
      <c r="AX22" s="26">
        <f t="shared" si="26"/>
        <v>6</v>
      </c>
      <c r="AZ22" s="23">
        <f>($G$22/12)*O22</f>
        <v>0</v>
      </c>
      <c r="BA22" s="23">
        <f aca="true" t="shared" si="27" ref="BA22:BK22">($G$22/12)*P22</f>
        <v>0</v>
      </c>
      <c r="BB22" s="23">
        <f t="shared" si="27"/>
        <v>0</v>
      </c>
      <c r="BC22" s="23">
        <f t="shared" si="27"/>
        <v>0</v>
      </c>
      <c r="BD22" s="23">
        <f t="shared" si="27"/>
        <v>0</v>
      </c>
      <c r="BE22" s="23">
        <f t="shared" si="27"/>
        <v>0</v>
      </c>
      <c r="BF22" s="23">
        <f t="shared" si="27"/>
        <v>0</v>
      </c>
      <c r="BG22" s="23">
        <f t="shared" si="27"/>
        <v>0</v>
      </c>
      <c r="BH22" s="23">
        <f t="shared" si="27"/>
        <v>0</v>
      </c>
      <c r="BI22" s="23">
        <f t="shared" si="27"/>
        <v>0</v>
      </c>
      <c r="BJ22" s="23">
        <f t="shared" si="27"/>
        <v>0</v>
      </c>
      <c r="BK22" s="23">
        <f t="shared" si="27"/>
        <v>0</v>
      </c>
      <c r="BL22" s="23">
        <f>($H$22/12)*AA22</f>
        <v>4080</v>
      </c>
      <c r="BM22" s="23">
        <f aca="true" t="shared" si="28" ref="BM22:BW22">($H$22/12)*AB22</f>
        <v>4080</v>
      </c>
      <c r="BN22" s="23">
        <f t="shared" si="28"/>
        <v>4080</v>
      </c>
      <c r="BO22" s="23">
        <f t="shared" si="28"/>
        <v>4080</v>
      </c>
      <c r="BP22" s="23">
        <f t="shared" si="28"/>
        <v>4080</v>
      </c>
      <c r="BQ22" s="23">
        <f t="shared" si="28"/>
        <v>4080</v>
      </c>
      <c r="BR22" s="23">
        <f t="shared" si="28"/>
        <v>4080</v>
      </c>
      <c r="BS22" s="23">
        <f t="shared" si="28"/>
        <v>4080</v>
      </c>
      <c r="BT22" s="23">
        <f t="shared" si="28"/>
        <v>4080</v>
      </c>
      <c r="BU22" s="23">
        <f t="shared" si="28"/>
        <v>4080</v>
      </c>
      <c r="BV22" s="23">
        <f t="shared" si="28"/>
        <v>4080</v>
      </c>
      <c r="BW22" s="23">
        <f t="shared" si="28"/>
        <v>4080</v>
      </c>
      <c r="BX22" s="23">
        <f>($I$22/12)*AM22</f>
        <v>12484.800000000001</v>
      </c>
      <c r="BY22" s="23">
        <f aca="true" t="shared" si="29" ref="BY22:CI22">($I$22/12)*AN22</f>
        <v>12484.800000000001</v>
      </c>
      <c r="BZ22" s="23">
        <f t="shared" si="29"/>
        <v>12484.800000000001</v>
      </c>
      <c r="CA22" s="23">
        <f t="shared" si="29"/>
        <v>12484.800000000001</v>
      </c>
      <c r="CB22" s="23">
        <f t="shared" si="29"/>
        <v>12484.800000000001</v>
      </c>
      <c r="CC22" s="23">
        <f t="shared" si="29"/>
        <v>12484.800000000001</v>
      </c>
      <c r="CD22" s="23">
        <f t="shared" si="29"/>
        <v>12484.800000000001</v>
      </c>
      <c r="CE22" s="23">
        <f t="shared" si="29"/>
        <v>12484.800000000001</v>
      </c>
      <c r="CF22" s="23">
        <f t="shared" si="29"/>
        <v>12484.800000000001</v>
      </c>
      <c r="CG22" s="23">
        <f t="shared" si="29"/>
        <v>12484.800000000001</v>
      </c>
      <c r="CH22" s="23">
        <f t="shared" si="29"/>
        <v>12484.800000000001</v>
      </c>
      <c r="CI22" s="112">
        <f t="shared" si="29"/>
        <v>12484.800000000001</v>
      </c>
    </row>
    <row r="23" spans="1:87" s="52" customFormat="1" ht="12.75" customHeight="1">
      <c r="A23" s="34" t="s">
        <v>254</v>
      </c>
      <c r="B23" s="33">
        <f>B67</f>
        <v>5</v>
      </c>
      <c r="C23" s="34">
        <f>C67</f>
        <v>7</v>
      </c>
      <c r="D23" s="34">
        <f>D67</f>
        <v>9</v>
      </c>
      <c r="E23" s="248"/>
      <c r="F23" s="213">
        <f>F67</f>
        <v>78000</v>
      </c>
      <c r="G23" s="116">
        <f>F23</f>
        <v>78000</v>
      </c>
      <c r="H23" s="116">
        <f>G23*(1+$C$4)</f>
        <v>79560</v>
      </c>
      <c r="I23" s="116">
        <f>H23*(1+$D$4)</f>
        <v>81151.2</v>
      </c>
      <c r="J23" s="248"/>
      <c r="K23" s="214">
        <f>SUM(AZ23:BK23)</f>
        <v>390000</v>
      </c>
      <c r="L23" s="215">
        <f>SUM(BL23:BW23)</f>
        <v>556920</v>
      </c>
      <c r="M23" s="215">
        <f>SUM(BX23:CI23)</f>
        <v>730360.8000000002</v>
      </c>
      <c r="N23" s="248"/>
      <c r="O23" s="52">
        <f>$B$23</f>
        <v>5</v>
      </c>
      <c r="P23" s="52">
        <f aca="true" t="shared" si="30" ref="P23:Z23">$B$23</f>
        <v>5</v>
      </c>
      <c r="Q23" s="52">
        <f t="shared" si="30"/>
        <v>5</v>
      </c>
      <c r="R23" s="52">
        <f t="shared" si="30"/>
        <v>5</v>
      </c>
      <c r="S23" s="52">
        <f t="shared" si="30"/>
        <v>5</v>
      </c>
      <c r="T23" s="52">
        <f t="shared" si="30"/>
        <v>5</v>
      </c>
      <c r="U23" s="52">
        <f t="shared" si="30"/>
        <v>5</v>
      </c>
      <c r="V23" s="52">
        <f t="shared" si="30"/>
        <v>5</v>
      </c>
      <c r="W23" s="52">
        <f t="shared" si="30"/>
        <v>5</v>
      </c>
      <c r="X23" s="52">
        <f t="shared" si="30"/>
        <v>5</v>
      </c>
      <c r="Y23" s="52">
        <f t="shared" si="30"/>
        <v>5</v>
      </c>
      <c r="Z23" s="52">
        <f t="shared" si="30"/>
        <v>5</v>
      </c>
      <c r="AA23" s="52">
        <f>$C$23</f>
        <v>7</v>
      </c>
      <c r="AB23" s="52">
        <f aca="true" t="shared" si="31" ref="AB23:AL23">$C$23</f>
        <v>7</v>
      </c>
      <c r="AC23" s="52">
        <f t="shared" si="31"/>
        <v>7</v>
      </c>
      <c r="AD23" s="52">
        <f t="shared" si="31"/>
        <v>7</v>
      </c>
      <c r="AE23" s="52">
        <f t="shared" si="31"/>
        <v>7</v>
      </c>
      <c r="AF23" s="52">
        <f t="shared" si="31"/>
        <v>7</v>
      </c>
      <c r="AG23" s="52">
        <f t="shared" si="31"/>
        <v>7</v>
      </c>
      <c r="AH23" s="52">
        <f t="shared" si="31"/>
        <v>7</v>
      </c>
      <c r="AI23" s="52">
        <f t="shared" si="31"/>
        <v>7</v>
      </c>
      <c r="AJ23" s="52">
        <f t="shared" si="31"/>
        <v>7</v>
      </c>
      <c r="AK23" s="52">
        <f t="shared" si="31"/>
        <v>7</v>
      </c>
      <c r="AL23" s="52">
        <f t="shared" si="31"/>
        <v>7</v>
      </c>
      <c r="AM23" s="52">
        <f>$D$23</f>
        <v>9</v>
      </c>
      <c r="AN23" s="52">
        <f aca="true" t="shared" si="32" ref="AN23:AX23">$D$23</f>
        <v>9</v>
      </c>
      <c r="AO23" s="52">
        <f t="shared" si="32"/>
        <v>9</v>
      </c>
      <c r="AP23" s="52">
        <f t="shared" si="32"/>
        <v>9</v>
      </c>
      <c r="AQ23" s="52">
        <f t="shared" si="32"/>
        <v>9</v>
      </c>
      <c r="AR23" s="52">
        <f t="shared" si="32"/>
        <v>9</v>
      </c>
      <c r="AS23" s="52">
        <f t="shared" si="32"/>
        <v>9</v>
      </c>
      <c r="AT23" s="52">
        <f t="shared" si="32"/>
        <v>9</v>
      </c>
      <c r="AU23" s="52">
        <f t="shared" si="32"/>
        <v>9</v>
      </c>
      <c r="AV23" s="52">
        <f t="shared" si="32"/>
        <v>9</v>
      </c>
      <c r="AW23" s="52">
        <f t="shared" si="32"/>
        <v>9</v>
      </c>
      <c r="AX23" s="52">
        <f t="shared" si="32"/>
        <v>9</v>
      </c>
      <c r="AZ23" s="116">
        <f>($G$23/12)*O23</f>
        <v>32500</v>
      </c>
      <c r="BA23" s="116">
        <f aca="true" t="shared" si="33" ref="BA23:BK23">($G$23/12)*P23</f>
        <v>32500</v>
      </c>
      <c r="BB23" s="116">
        <f t="shared" si="33"/>
        <v>32500</v>
      </c>
      <c r="BC23" s="116">
        <f t="shared" si="33"/>
        <v>32500</v>
      </c>
      <c r="BD23" s="116">
        <f t="shared" si="33"/>
        <v>32500</v>
      </c>
      <c r="BE23" s="116">
        <f t="shared" si="33"/>
        <v>32500</v>
      </c>
      <c r="BF23" s="116">
        <f t="shared" si="33"/>
        <v>32500</v>
      </c>
      <c r="BG23" s="116">
        <f t="shared" si="33"/>
        <v>32500</v>
      </c>
      <c r="BH23" s="116">
        <f t="shared" si="33"/>
        <v>32500</v>
      </c>
      <c r="BI23" s="116">
        <f t="shared" si="33"/>
        <v>32500</v>
      </c>
      <c r="BJ23" s="116">
        <f t="shared" si="33"/>
        <v>32500</v>
      </c>
      <c r="BK23" s="116">
        <f t="shared" si="33"/>
        <v>32500</v>
      </c>
      <c r="BL23" s="116">
        <f>($H$23/12)*AA23</f>
        <v>46410</v>
      </c>
      <c r="BM23" s="116">
        <f aca="true" t="shared" si="34" ref="BM23:BW23">($H$23/12)*AB23</f>
        <v>46410</v>
      </c>
      <c r="BN23" s="116">
        <f t="shared" si="34"/>
        <v>46410</v>
      </c>
      <c r="BO23" s="116">
        <f t="shared" si="34"/>
        <v>46410</v>
      </c>
      <c r="BP23" s="116">
        <f t="shared" si="34"/>
        <v>46410</v>
      </c>
      <c r="BQ23" s="116">
        <f t="shared" si="34"/>
        <v>46410</v>
      </c>
      <c r="BR23" s="116">
        <f t="shared" si="34"/>
        <v>46410</v>
      </c>
      <c r="BS23" s="116">
        <f t="shared" si="34"/>
        <v>46410</v>
      </c>
      <c r="BT23" s="116">
        <f t="shared" si="34"/>
        <v>46410</v>
      </c>
      <c r="BU23" s="116">
        <f t="shared" si="34"/>
        <v>46410</v>
      </c>
      <c r="BV23" s="116">
        <f t="shared" si="34"/>
        <v>46410</v>
      </c>
      <c r="BW23" s="116">
        <f t="shared" si="34"/>
        <v>46410</v>
      </c>
      <c r="BX23" s="116">
        <f>($I$23/12)*AM23</f>
        <v>60863.399999999994</v>
      </c>
      <c r="BY23" s="116">
        <f aca="true" t="shared" si="35" ref="BY23:CI23">($I$23/12)*AN23</f>
        <v>60863.399999999994</v>
      </c>
      <c r="BZ23" s="116">
        <f t="shared" si="35"/>
        <v>60863.399999999994</v>
      </c>
      <c r="CA23" s="116">
        <f t="shared" si="35"/>
        <v>60863.399999999994</v>
      </c>
      <c r="CB23" s="116">
        <f t="shared" si="35"/>
        <v>60863.399999999994</v>
      </c>
      <c r="CC23" s="116">
        <f t="shared" si="35"/>
        <v>60863.399999999994</v>
      </c>
      <c r="CD23" s="116">
        <f t="shared" si="35"/>
        <v>60863.399999999994</v>
      </c>
      <c r="CE23" s="116">
        <f t="shared" si="35"/>
        <v>60863.399999999994</v>
      </c>
      <c r="CF23" s="116">
        <f t="shared" si="35"/>
        <v>60863.399999999994</v>
      </c>
      <c r="CG23" s="116">
        <f t="shared" si="35"/>
        <v>60863.399999999994</v>
      </c>
      <c r="CH23" s="116">
        <f t="shared" si="35"/>
        <v>60863.399999999994</v>
      </c>
      <c r="CI23" s="119">
        <f t="shared" si="35"/>
        <v>60863.399999999994</v>
      </c>
    </row>
    <row r="24" spans="1:114" s="52" customFormat="1" ht="12.75" customHeight="1">
      <c r="A24" s="52" t="s">
        <v>316</v>
      </c>
      <c r="B24" s="33">
        <f>SUM(B21:B23)</f>
        <v>6</v>
      </c>
      <c r="C24" s="34">
        <f>SUM(C21:C23)</f>
        <v>10</v>
      </c>
      <c r="D24" s="34">
        <f>SUM(D21:D23)</f>
        <v>16</v>
      </c>
      <c r="E24" s="248"/>
      <c r="F24" s="213"/>
      <c r="G24" s="116"/>
      <c r="H24" s="116"/>
      <c r="I24" s="116"/>
      <c r="J24" s="248"/>
      <c r="K24" s="214">
        <f>SUM(K21:K23)</f>
        <v>468000</v>
      </c>
      <c r="L24" s="215">
        <f>SUM(L21:L23)</f>
        <v>636480</v>
      </c>
      <c r="M24" s="215">
        <f>SUM(M21:M23)</f>
        <v>811512.0000000002</v>
      </c>
      <c r="N24" s="248"/>
      <c r="O24" s="52">
        <f aca="true" t="shared" si="36" ref="O24:AW24">SUM(O21:O23)</f>
        <v>6</v>
      </c>
      <c r="P24" s="52">
        <f t="shared" si="36"/>
        <v>6</v>
      </c>
      <c r="Q24" s="52">
        <f t="shared" si="36"/>
        <v>6</v>
      </c>
      <c r="R24" s="52">
        <f t="shared" si="36"/>
        <v>6</v>
      </c>
      <c r="S24" s="52">
        <f t="shared" si="36"/>
        <v>6</v>
      </c>
      <c r="T24" s="52">
        <f t="shared" si="36"/>
        <v>6</v>
      </c>
      <c r="U24" s="52">
        <f t="shared" si="36"/>
        <v>6</v>
      </c>
      <c r="V24" s="52">
        <f t="shared" si="36"/>
        <v>6</v>
      </c>
      <c r="W24" s="52">
        <f t="shared" si="36"/>
        <v>6</v>
      </c>
      <c r="X24" s="52">
        <f t="shared" si="36"/>
        <v>6</v>
      </c>
      <c r="Y24" s="52">
        <f t="shared" si="36"/>
        <v>6</v>
      </c>
      <c r="Z24" s="52">
        <f t="shared" si="36"/>
        <v>6</v>
      </c>
      <c r="AA24" s="52">
        <f t="shared" si="36"/>
        <v>10</v>
      </c>
      <c r="AB24" s="52">
        <f t="shared" si="36"/>
        <v>10</v>
      </c>
      <c r="AC24" s="52">
        <f t="shared" si="36"/>
        <v>10</v>
      </c>
      <c r="AD24" s="52">
        <f t="shared" si="36"/>
        <v>10</v>
      </c>
      <c r="AE24" s="52">
        <f t="shared" si="36"/>
        <v>10</v>
      </c>
      <c r="AF24" s="52">
        <f t="shared" si="36"/>
        <v>10</v>
      </c>
      <c r="AG24" s="52">
        <f t="shared" si="36"/>
        <v>10</v>
      </c>
      <c r="AH24" s="52">
        <f t="shared" si="36"/>
        <v>10</v>
      </c>
      <c r="AI24" s="52">
        <f t="shared" si="36"/>
        <v>10</v>
      </c>
      <c r="AJ24" s="52">
        <f t="shared" si="36"/>
        <v>10</v>
      </c>
      <c r="AK24" s="52">
        <f t="shared" si="36"/>
        <v>10</v>
      </c>
      <c r="AL24" s="52">
        <f t="shared" si="36"/>
        <v>10</v>
      </c>
      <c r="AM24" s="52">
        <f t="shared" si="36"/>
        <v>16</v>
      </c>
      <c r="AN24" s="52">
        <f t="shared" si="36"/>
        <v>16</v>
      </c>
      <c r="AO24" s="52">
        <f t="shared" si="36"/>
        <v>16</v>
      </c>
      <c r="AP24" s="52">
        <f t="shared" si="36"/>
        <v>16</v>
      </c>
      <c r="AQ24" s="52">
        <f t="shared" si="36"/>
        <v>16</v>
      </c>
      <c r="AR24" s="52">
        <f t="shared" si="36"/>
        <v>16</v>
      </c>
      <c r="AS24" s="52">
        <f t="shared" si="36"/>
        <v>16</v>
      </c>
      <c r="AT24" s="52">
        <f t="shared" si="36"/>
        <v>16</v>
      </c>
      <c r="AU24" s="52">
        <f t="shared" si="36"/>
        <v>16</v>
      </c>
      <c r="AV24" s="52">
        <f t="shared" si="36"/>
        <v>16</v>
      </c>
      <c r="AW24" s="52">
        <f t="shared" si="36"/>
        <v>16</v>
      </c>
      <c r="AX24" s="52">
        <f>SUM(AX21:AX23)</f>
        <v>16</v>
      </c>
      <c r="AZ24" s="116">
        <f>SUM(AZ21:AZ23)</f>
        <v>39000</v>
      </c>
      <c r="BA24" s="116">
        <f aca="true" t="shared" si="37" ref="BA24:CI24">SUM(BA21:BA23)</f>
        <v>39000</v>
      </c>
      <c r="BB24" s="116">
        <f t="shared" si="37"/>
        <v>39000</v>
      </c>
      <c r="BC24" s="116">
        <f t="shared" si="37"/>
        <v>39000</v>
      </c>
      <c r="BD24" s="116">
        <f t="shared" si="37"/>
        <v>39000</v>
      </c>
      <c r="BE24" s="116">
        <f t="shared" si="37"/>
        <v>39000</v>
      </c>
      <c r="BF24" s="116">
        <f t="shared" si="37"/>
        <v>39000</v>
      </c>
      <c r="BG24" s="116">
        <f t="shared" si="37"/>
        <v>39000</v>
      </c>
      <c r="BH24" s="116">
        <f t="shared" si="37"/>
        <v>39000</v>
      </c>
      <c r="BI24" s="116">
        <f t="shared" si="37"/>
        <v>39000</v>
      </c>
      <c r="BJ24" s="116">
        <f t="shared" si="37"/>
        <v>39000</v>
      </c>
      <c r="BK24" s="116">
        <f t="shared" si="37"/>
        <v>39000</v>
      </c>
      <c r="BL24" s="116">
        <f t="shared" si="37"/>
        <v>57120</v>
      </c>
      <c r="BM24" s="116">
        <f t="shared" si="37"/>
        <v>57120</v>
      </c>
      <c r="BN24" s="116">
        <f t="shared" si="37"/>
        <v>57120</v>
      </c>
      <c r="BO24" s="116">
        <f t="shared" si="37"/>
        <v>57120</v>
      </c>
      <c r="BP24" s="116">
        <f t="shared" si="37"/>
        <v>57120</v>
      </c>
      <c r="BQ24" s="116">
        <f t="shared" si="37"/>
        <v>57120</v>
      </c>
      <c r="BR24" s="116">
        <f t="shared" si="37"/>
        <v>57120</v>
      </c>
      <c r="BS24" s="116">
        <f t="shared" si="37"/>
        <v>57120</v>
      </c>
      <c r="BT24" s="116">
        <f t="shared" si="37"/>
        <v>57120</v>
      </c>
      <c r="BU24" s="116">
        <f t="shared" si="37"/>
        <v>57120</v>
      </c>
      <c r="BV24" s="116">
        <f t="shared" si="37"/>
        <v>57120</v>
      </c>
      <c r="BW24" s="116">
        <f t="shared" si="37"/>
        <v>57120</v>
      </c>
      <c r="BX24" s="116">
        <f t="shared" si="37"/>
        <v>80110.79999999999</v>
      </c>
      <c r="BY24" s="116">
        <f t="shared" si="37"/>
        <v>80110.79999999999</v>
      </c>
      <c r="BZ24" s="116">
        <f t="shared" si="37"/>
        <v>80110.79999999999</v>
      </c>
      <c r="CA24" s="116">
        <f t="shared" si="37"/>
        <v>80110.79999999999</v>
      </c>
      <c r="CB24" s="116">
        <f t="shared" si="37"/>
        <v>80110.79999999999</v>
      </c>
      <c r="CC24" s="116">
        <f t="shared" si="37"/>
        <v>80110.79999999999</v>
      </c>
      <c r="CD24" s="116">
        <f t="shared" si="37"/>
        <v>80110.79999999999</v>
      </c>
      <c r="CE24" s="116">
        <f t="shared" si="37"/>
        <v>80110.79999999999</v>
      </c>
      <c r="CF24" s="116">
        <f t="shared" si="37"/>
        <v>80110.79999999999</v>
      </c>
      <c r="CG24" s="116">
        <f t="shared" si="37"/>
        <v>80110.79999999999</v>
      </c>
      <c r="CH24" s="116">
        <f t="shared" si="37"/>
        <v>80110.79999999999</v>
      </c>
      <c r="CI24" s="119">
        <f t="shared" si="37"/>
        <v>80110.79999999999</v>
      </c>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row>
    <row r="25" spans="1:87" ht="12.75" customHeight="1">
      <c r="A25" s="25" t="s">
        <v>196</v>
      </c>
      <c r="B25" s="211"/>
      <c r="C25" s="45"/>
      <c r="D25" s="45"/>
      <c r="E25" s="246"/>
      <c r="F25" s="212"/>
      <c r="G25" s="23"/>
      <c r="H25" s="23"/>
      <c r="I25" s="23"/>
      <c r="J25" s="246"/>
      <c r="K25" s="158">
        <f>K24*$B$5</f>
        <v>117000</v>
      </c>
      <c r="L25" s="153">
        <f>L24*$C$5</f>
        <v>159120</v>
      </c>
      <c r="M25" s="153">
        <f>M24*$D$5</f>
        <v>202878.00000000006</v>
      </c>
      <c r="N25" s="24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3">
        <f>AZ24*$B$5</f>
        <v>9750</v>
      </c>
      <c r="BA25" s="23">
        <f>BA24*$B$5</f>
        <v>9750</v>
      </c>
      <c r="BB25" s="23">
        <f>BB24*$B$5</f>
        <v>9750</v>
      </c>
      <c r="BC25" s="23">
        <f>BC24*$B$5</f>
        <v>9750</v>
      </c>
      <c r="BD25" s="23">
        <f aca="true" t="shared" si="38" ref="BD25:BK25">BD24*$B$5</f>
        <v>9750</v>
      </c>
      <c r="BE25" s="23">
        <f t="shared" si="38"/>
        <v>9750</v>
      </c>
      <c r="BF25" s="23">
        <f t="shared" si="38"/>
        <v>9750</v>
      </c>
      <c r="BG25" s="23">
        <f t="shared" si="38"/>
        <v>9750</v>
      </c>
      <c r="BH25" s="23">
        <f t="shared" si="38"/>
        <v>9750</v>
      </c>
      <c r="BI25" s="23">
        <f t="shared" si="38"/>
        <v>9750</v>
      </c>
      <c r="BJ25" s="23">
        <f t="shared" si="38"/>
        <v>9750</v>
      </c>
      <c r="BK25" s="23">
        <f t="shared" si="38"/>
        <v>9750</v>
      </c>
      <c r="BL25" s="23">
        <f aca="true" t="shared" si="39" ref="BL25:BW25">BL24*$C$5</f>
        <v>14280</v>
      </c>
      <c r="BM25" s="23">
        <f t="shared" si="39"/>
        <v>14280</v>
      </c>
      <c r="BN25" s="23">
        <f t="shared" si="39"/>
        <v>14280</v>
      </c>
      <c r="BO25" s="23">
        <f t="shared" si="39"/>
        <v>14280</v>
      </c>
      <c r="BP25" s="23">
        <f t="shared" si="39"/>
        <v>14280</v>
      </c>
      <c r="BQ25" s="23">
        <f t="shared" si="39"/>
        <v>14280</v>
      </c>
      <c r="BR25" s="23">
        <f t="shared" si="39"/>
        <v>14280</v>
      </c>
      <c r="BS25" s="23">
        <f t="shared" si="39"/>
        <v>14280</v>
      </c>
      <c r="BT25" s="23">
        <f t="shared" si="39"/>
        <v>14280</v>
      </c>
      <c r="BU25" s="23">
        <f t="shared" si="39"/>
        <v>14280</v>
      </c>
      <c r="BV25" s="23">
        <f t="shared" si="39"/>
        <v>14280</v>
      </c>
      <c r="BW25" s="23">
        <f t="shared" si="39"/>
        <v>14280</v>
      </c>
      <c r="BX25" s="23">
        <f aca="true" t="shared" si="40" ref="BX25:CI25">BX24*$D$5</f>
        <v>20027.699999999997</v>
      </c>
      <c r="BY25" s="23">
        <f t="shared" si="40"/>
        <v>20027.699999999997</v>
      </c>
      <c r="BZ25" s="23">
        <f t="shared" si="40"/>
        <v>20027.699999999997</v>
      </c>
      <c r="CA25" s="23">
        <f t="shared" si="40"/>
        <v>20027.699999999997</v>
      </c>
      <c r="CB25" s="23">
        <f t="shared" si="40"/>
        <v>20027.699999999997</v>
      </c>
      <c r="CC25" s="23">
        <f t="shared" si="40"/>
        <v>20027.699999999997</v>
      </c>
      <c r="CD25" s="23">
        <f t="shared" si="40"/>
        <v>20027.699999999997</v>
      </c>
      <c r="CE25" s="23">
        <f t="shared" si="40"/>
        <v>20027.699999999997</v>
      </c>
      <c r="CF25" s="23">
        <f t="shared" si="40"/>
        <v>20027.699999999997</v>
      </c>
      <c r="CG25" s="23">
        <f t="shared" si="40"/>
        <v>20027.699999999997</v>
      </c>
      <c r="CH25" s="23">
        <f t="shared" si="40"/>
        <v>20027.699999999997</v>
      </c>
      <c r="CI25" s="112">
        <f t="shared" si="40"/>
        <v>20027.699999999997</v>
      </c>
    </row>
    <row r="26" spans="1:87" ht="12.75" customHeight="1">
      <c r="A26" s="25" t="s">
        <v>153</v>
      </c>
      <c r="B26" s="211"/>
      <c r="C26" s="45"/>
      <c r="D26" s="45"/>
      <c r="E26" s="246"/>
      <c r="F26" s="212"/>
      <c r="G26" s="23"/>
      <c r="H26" s="23"/>
      <c r="I26" s="23"/>
      <c r="J26" s="246"/>
      <c r="K26" s="158">
        <f>K24+K25</f>
        <v>585000</v>
      </c>
      <c r="L26" s="153">
        <f>L24+L25</f>
        <v>795600</v>
      </c>
      <c r="M26" s="153">
        <f>M24+M25</f>
        <v>1014390.0000000002</v>
      </c>
      <c r="N26" s="24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3">
        <f>AZ24+AZ25</f>
        <v>48750</v>
      </c>
      <c r="BA26" s="23">
        <f aca="true" t="shared" si="41" ref="BA26:CI26">BA24+BA25</f>
        <v>48750</v>
      </c>
      <c r="BB26" s="23">
        <f t="shared" si="41"/>
        <v>48750</v>
      </c>
      <c r="BC26" s="23">
        <f t="shared" si="41"/>
        <v>48750</v>
      </c>
      <c r="BD26" s="23">
        <f t="shared" si="41"/>
        <v>48750</v>
      </c>
      <c r="BE26" s="23">
        <f t="shared" si="41"/>
        <v>48750</v>
      </c>
      <c r="BF26" s="23">
        <f t="shared" si="41"/>
        <v>48750</v>
      </c>
      <c r="BG26" s="23">
        <f t="shared" si="41"/>
        <v>48750</v>
      </c>
      <c r="BH26" s="23">
        <f t="shared" si="41"/>
        <v>48750</v>
      </c>
      <c r="BI26" s="23">
        <f t="shared" si="41"/>
        <v>48750</v>
      </c>
      <c r="BJ26" s="23">
        <f t="shared" si="41"/>
        <v>48750</v>
      </c>
      <c r="BK26" s="23">
        <f t="shared" si="41"/>
        <v>48750</v>
      </c>
      <c r="BL26" s="23">
        <f t="shared" si="41"/>
        <v>71400</v>
      </c>
      <c r="BM26" s="23">
        <f t="shared" si="41"/>
        <v>71400</v>
      </c>
      <c r="BN26" s="23">
        <f t="shared" si="41"/>
        <v>71400</v>
      </c>
      <c r="BO26" s="23">
        <f t="shared" si="41"/>
        <v>71400</v>
      </c>
      <c r="BP26" s="23">
        <f t="shared" si="41"/>
        <v>71400</v>
      </c>
      <c r="BQ26" s="23">
        <f t="shared" si="41"/>
        <v>71400</v>
      </c>
      <c r="BR26" s="23">
        <f t="shared" si="41"/>
        <v>71400</v>
      </c>
      <c r="BS26" s="23">
        <f t="shared" si="41"/>
        <v>71400</v>
      </c>
      <c r="BT26" s="23">
        <f t="shared" si="41"/>
        <v>71400</v>
      </c>
      <c r="BU26" s="23">
        <f t="shared" si="41"/>
        <v>71400</v>
      </c>
      <c r="BV26" s="23">
        <f t="shared" si="41"/>
        <v>71400</v>
      </c>
      <c r="BW26" s="23">
        <f t="shared" si="41"/>
        <v>71400</v>
      </c>
      <c r="BX26" s="23">
        <f t="shared" si="41"/>
        <v>100138.49999999999</v>
      </c>
      <c r="BY26" s="23">
        <f t="shared" si="41"/>
        <v>100138.49999999999</v>
      </c>
      <c r="BZ26" s="23">
        <f t="shared" si="41"/>
        <v>100138.49999999999</v>
      </c>
      <c r="CA26" s="23">
        <f t="shared" si="41"/>
        <v>100138.49999999999</v>
      </c>
      <c r="CB26" s="23">
        <f t="shared" si="41"/>
        <v>100138.49999999999</v>
      </c>
      <c r="CC26" s="23">
        <f t="shared" si="41"/>
        <v>100138.49999999999</v>
      </c>
      <c r="CD26" s="23">
        <f t="shared" si="41"/>
        <v>100138.49999999999</v>
      </c>
      <c r="CE26" s="23">
        <f t="shared" si="41"/>
        <v>100138.49999999999</v>
      </c>
      <c r="CF26" s="23">
        <f t="shared" si="41"/>
        <v>100138.49999999999</v>
      </c>
      <c r="CG26" s="23">
        <f t="shared" si="41"/>
        <v>100138.49999999999</v>
      </c>
      <c r="CH26" s="23">
        <f t="shared" si="41"/>
        <v>100138.49999999999</v>
      </c>
      <c r="CI26" s="112">
        <f t="shared" si="41"/>
        <v>100138.49999999999</v>
      </c>
    </row>
    <row r="27" spans="2:87" ht="12.75" customHeight="1">
      <c r="B27" s="211"/>
      <c r="C27" s="45"/>
      <c r="D27" s="45"/>
      <c r="E27" s="246"/>
      <c r="F27" s="212"/>
      <c r="G27" s="23"/>
      <c r="H27" s="23"/>
      <c r="I27" s="23"/>
      <c r="J27" s="246"/>
      <c r="K27" s="179"/>
      <c r="L27" s="17"/>
      <c r="M27" s="17"/>
      <c r="N27" s="24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112"/>
    </row>
    <row r="28" spans="1:87" ht="12.75" customHeight="1">
      <c r="A28" s="99" t="s">
        <v>255</v>
      </c>
      <c r="B28" s="211"/>
      <c r="C28" s="45"/>
      <c r="D28" s="45"/>
      <c r="E28" s="246"/>
      <c r="F28" s="212"/>
      <c r="G28" s="23"/>
      <c r="H28" s="23"/>
      <c r="I28" s="23"/>
      <c r="J28" s="246"/>
      <c r="K28" s="32"/>
      <c r="L28" s="26"/>
      <c r="M28" s="26"/>
      <c r="N28" s="24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112"/>
    </row>
    <row r="29" spans="1:87" s="26" customFormat="1" ht="12.75" customHeight="1">
      <c r="A29" s="26" t="s">
        <v>256</v>
      </c>
      <c r="B29" s="211">
        <f>B73</f>
        <v>1</v>
      </c>
      <c r="C29" s="45">
        <f>C73</f>
        <v>1</v>
      </c>
      <c r="D29" s="45">
        <f>D73</f>
        <v>1</v>
      </c>
      <c r="E29" s="246"/>
      <c r="F29" s="212">
        <f>F73</f>
        <v>78000</v>
      </c>
      <c r="G29" s="23">
        <f aca="true" t="shared" si="42" ref="G29:G35">F29</f>
        <v>78000</v>
      </c>
      <c r="H29" s="23">
        <f aca="true" t="shared" si="43" ref="H29:H35">G29*(1+$C$4)</f>
        <v>79560</v>
      </c>
      <c r="I29" s="23">
        <f aca="true" t="shared" si="44" ref="I29:I35">H29*(1+$D$4)</f>
        <v>81151.2</v>
      </c>
      <c r="J29" s="246"/>
      <c r="K29" s="158">
        <f aca="true" t="shared" si="45" ref="K29:K35">SUM(AZ29:BK29)</f>
        <v>78000</v>
      </c>
      <c r="L29" s="153">
        <f aca="true" t="shared" si="46" ref="L29:L35">SUM(BL29:BW29)</f>
        <v>79560</v>
      </c>
      <c r="M29" s="153">
        <f aca="true" t="shared" si="47" ref="M29:M35">SUM(BX29:CI29)</f>
        <v>81151.20000000001</v>
      </c>
      <c r="N29" s="246"/>
      <c r="O29" s="26">
        <f>$B$29</f>
        <v>1</v>
      </c>
      <c r="P29" s="26">
        <f aca="true" t="shared" si="48" ref="P29:Z29">$B$29</f>
        <v>1</v>
      </c>
      <c r="Q29" s="26">
        <f t="shared" si="48"/>
        <v>1</v>
      </c>
      <c r="R29" s="26">
        <f t="shared" si="48"/>
        <v>1</v>
      </c>
      <c r="S29" s="26">
        <f t="shared" si="48"/>
        <v>1</v>
      </c>
      <c r="T29" s="26">
        <f t="shared" si="48"/>
        <v>1</v>
      </c>
      <c r="U29" s="26">
        <f t="shared" si="48"/>
        <v>1</v>
      </c>
      <c r="V29" s="26">
        <f t="shared" si="48"/>
        <v>1</v>
      </c>
      <c r="W29" s="26">
        <f t="shared" si="48"/>
        <v>1</v>
      </c>
      <c r="X29" s="26">
        <f t="shared" si="48"/>
        <v>1</v>
      </c>
      <c r="Y29" s="26">
        <f t="shared" si="48"/>
        <v>1</v>
      </c>
      <c r="Z29" s="26">
        <f t="shared" si="48"/>
        <v>1</v>
      </c>
      <c r="AA29" s="26">
        <f>$C$29</f>
        <v>1</v>
      </c>
      <c r="AB29" s="26">
        <f aca="true" t="shared" si="49" ref="AB29:AL29">$C$29</f>
        <v>1</v>
      </c>
      <c r="AC29" s="26">
        <f t="shared" si="49"/>
        <v>1</v>
      </c>
      <c r="AD29" s="26">
        <f t="shared" si="49"/>
        <v>1</v>
      </c>
      <c r="AE29" s="26">
        <f t="shared" si="49"/>
        <v>1</v>
      </c>
      <c r="AF29" s="26">
        <f t="shared" si="49"/>
        <v>1</v>
      </c>
      <c r="AG29" s="26">
        <f t="shared" si="49"/>
        <v>1</v>
      </c>
      <c r="AH29" s="26">
        <f t="shared" si="49"/>
        <v>1</v>
      </c>
      <c r="AI29" s="26">
        <f t="shared" si="49"/>
        <v>1</v>
      </c>
      <c r="AJ29" s="26">
        <f t="shared" si="49"/>
        <v>1</v>
      </c>
      <c r="AK29" s="26">
        <f t="shared" si="49"/>
        <v>1</v>
      </c>
      <c r="AL29" s="26">
        <f t="shared" si="49"/>
        <v>1</v>
      </c>
      <c r="AM29" s="26">
        <f>$D$29</f>
        <v>1</v>
      </c>
      <c r="AN29" s="26">
        <f aca="true" t="shared" si="50" ref="AN29:AX29">$D$29</f>
        <v>1</v>
      </c>
      <c r="AO29" s="26">
        <f t="shared" si="50"/>
        <v>1</v>
      </c>
      <c r="AP29" s="26">
        <f t="shared" si="50"/>
        <v>1</v>
      </c>
      <c r="AQ29" s="26">
        <f t="shared" si="50"/>
        <v>1</v>
      </c>
      <c r="AR29" s="26">
        <f t="shared" si="50"/>
        <v>1</v>
      </c>
      <c r="AS29" s="26">
        <f t="shared" si="50"/>
        <v>1</v>
      </c>
      <c r="AT29" s="26">
        <f t="shared" si="50"/>
        <v>1</v>
      </c>
      <c r="AU29" s="26">
        <f t="shared" si="50"/>
        <v>1</v>
      </c>
      <c r="AV29" s="26">
        <f t="shared" si="50"/>
        <v>1</v>
      </c>
      <c r="AW29" s="26">
        <f t="shared" si="50"/>
        <v>1</v>
      </c>
      <c r="AX29" s="26">
        <f t="shared" si="50"/>
        <v>1</v>
      </c>
      <c r="AZ29" s="23">
        <f>($G$29/12)*O29</f>
        <v>6500</v>
      </c>
      <c r="BA29" s="23">
        <f aca="true" t="shared" si="51" ref="BA29:BK29">($G$29/12)*P29</f>
        <v>6500</v>
      </c>
      <c r="BB29" s="23">
        <f t="shared" si="51"/>
        <v>6500</v>
      </c>
      <c r="BC29" s="23">
        <f t="shared" si="51"/>
        <v>6500</v>
      </c>
      <c r="BD29" s="23">
        <f t="shared" si="51"/>
        <v>6500</v>
      </c>
      <c r="BE29" s="23">
        <f t="shared" si="51"/>
        <v>6500</v>
      </c>
      <c r="BF29" s="23">
        <f t="shared" si="51"/>
        <v>6500</v>
      </c>
      <c r="BG29" s="23">
        <f t="shared" si="51"/>
        <v>6500</v>
      </c>
      <c r="BH29" s="23">
        <f t="shared" si="51"/>
        <v>6500</v>
      </c>
      <c r="BI29" s="23">
        <f t="shared" si="51"/>
        <v>6500</v>
      </c>
      <c r="BJ29" s="23">
        <f t="shared" si="51"/>
        <v>6500</v>
      </c>
      <c r="BK29" s="23">
        <f t="shared" si="51"/>
        <v>6500</v>
      </c>
      <c r="BL29" s="23">
        <f>($H$29/12)*AA29</f>
        <v>6630</v>
      </c>
      <c r="BM29" s="23">
        <f aca="true" t="shared" si="52" ref="BM29:BW29">($H$29/12)*AB29</f>
        <v>6630</v>
      </c>
      <c r="BN29" s="23">
        <f t="shared" si="52"/>
        <v>6630</v>
      </c>
      <c r="BO29" s="23">
        <f t="shared" si="52"/>
        <v>6630</v>
      </c>
      <c r="BP29" s="23">
        <f t="shared" si="52"/>
        <v>6630</v>
      </c>
      <c r="BQ29" s="23">
        <f t="shared" si="52"/>
        <v>6630</v>
      </c>
      <c r="BR29" s="23">
        <f t="shared" si="52"/>
        <v>6630</v>
      </c>
      <c r="BS29" s="23">
        <f t="shared" si="52"/>
        <v>6630</v>
      </c>
      <c r="BT29" s="23">
        <f t="shared" si="52"/>
        <v>6630</v>
      </c>
      <c r="BU29" s="23">
        <f t="shared" si="52"/>
        <v>6630</v>
      </c>
      <c r="BV29" s="23">
        <f t="shared" si="52"/>
        <v>6630</v>
      </c>
      <c r="BW29" s="23">
        <f t="shared" si="52"/>
        <v>6630</v>
      </c>
      <c r="BX29" s="23">
        <f>($I$29/12)*AM29</f>
        <v>6762.599999999999</v>
      </c>
      <c r="BY29" s="23">
        <f aca="true" t="shared" si="53" ref="BY29:CI29">($I$29/12)*AN29</f>
        <v>6762.599999999999</v>
      </c>
      <c r="BZ29" s="23">
        <f t="shared" si="53"/>
        <v>6762.599999999999</v>
      </c>
      <c r="CA29" s="23">
        <f t="shared" si="53"/>
        <v>6762.599999999999</v>
      </c>
      <c r="CB29" s="23">
        <f t="shared" si="53"/>
        <v>6762.599999999999</v>
      </c>
      <c r="CC29" s="23">
        <f t="shared" si="53"/>
        <v>6762.599999999999</v>
      </c>
      <c r="CD29" s="23">
        <f t="shared" si="53"/>
        <v>6762.599999999999</v>
      </c>
      <c r="CE29" s="23">
        <f t="shared" si="53"/>
        <v>6762.599999999999</v>
      </c>
      <c r="CF29" s="23">
        <f t="shared" si="53"/>
        <v>6762.599999999999</v>
      </c>
      <c r="CG29" s="23">
        <f t="shared" si="53"/>
        <v>6762.599999999999</v>
      </c>
      <c r="CH29" s="23">
        <f t="shared" si="53"/>
        <v>6762.599999999999</v>
      </c>
      <c r="CI29" s="112">
        <f t="shared" si="53"/>
        <v>6762.599999999999</v>
      </c>
    </row>
    <row r="30" spans="1:87" s="26" customFormat="1" ht="12.75" customHeight="1">
      <c r="A30" s="45" t="s">
        <v>257</v>
      </c>
      <c r="B30" s="211">
        <f>B117+B149</f>
        <v>1</v>
      </c>
      <c r="C30" s="45">
        <f>C117+C149</f>
        <v>2</v>
      </c>
      <c r="D30" s="45">
        <f>D117+D149</f>
        <v>3</v>
      </c>
      <c r="E30" s="246"/>
      <c r="F30" s="212">
        <f>F117</f>
        <v>85000</v>
      </c>
      <c r="G30" s="23">
        <f t="shared" si="42"/>
        <v>85000</v>
      </c>
      <c r="H30" s="23">
        <f t="shared" si="43"/>
        <v>86700</v>
      </c>
      <c r="I30" s="23">
        <f t="shared" si="44"/>
        <v>88434</v>
      </c>
      <c r="J30" s="246"/>
      <c r="K30" s="158">
        <f t="shared" si="45"/>
        <v>85000</v>
      </c>
      <c r="L30" s="153">
        <f t="shared" si="46"/>
        <v>173400</v>
      </c>
      <c r="M30" s="153">
        <f t="shared" si="47"/>
        <v>265302</v>
      </c>
      <c r="N30" s="246"/>
      <c r="O30" s="26">
        <f>$B$30</f>
        <v>1</v>
      </c>
      <c r="P30" s="26">
        <f aca="true" t="shared" si="54" ref="P30:Z30">$B$30</f>
        <v>1</v>
      </c>
      <c r="Q30" s="26">
        <f t="shared" si="54"/>
        <v>1</v>
      </c>
      <c r="R30" s="26">
        <f t="shared" si="54"/>
        <v>1</v>
      </c>
      <c r="S30" s="26">
        <f t="shared" si="54"/>
        <v>1</v>
      </c>
      <c r="T30" s="26">
        <f t="shared" si="54"/>
        <v>1</v>
      </c>
      <c r="U30" s="26">
        <f t="shared" si="54"/>
        <v>1</v>
      </c>
      <c r="V30" s="26">
        <f t="shared" si="54"/>
        <v>1</v>
      </c>
      <c r="W30" s="26">
        <f t="shared" si="54"/>
        <v>1</v>
      </c>
      <c r="X30" s="26">
        <f t="shared" si="54"/>
        <v>1</v>
      </c>
      <c r="Y30" s="26">
        <f t="shared" si="54"/>
        <v>1</v>
      </c>
      <c r="Z30" s="26">
        <f t="shared" si="54"/>
        <v>1</v>
      </c>
      <c r="AA30" s="26">
        <f>$C$30</f>
        <v>2</v>
      </c>
      <c r="AB30" s="26">
        <f aca="true" t="shared" si="55" ref="AB30:AL30">$C$30</f>
        <v>2</v>
      </c>
      <c r="AC30" s="26">
        <f t="shared" si="55"/>
        <v>2</v>
      </c>
      <c r="AD30" s="26">
        <f t="shared" si="55"/>
        <v>2</v>
      </c>
      <c r="AE30" s="26">
        <f t="shared" si="55"/>
        <v>2</v>
      </c>
      <c r="AF30" s="26">
        <f t="shared" si="55"/>
        <v>2</v>
      </c>
      <c r="AG30" s="26">
        <f t="shared" si="55"/>
        <v>2</v>
      </c>
      <c r="AH30" s="26">
        <f t="shared" si="55"/>
        <v>2</v>
      </c>
      <c r="AI30" s="26">
        <f t="shared" si="55"/>
        <v>2</v>
      </c>
      <c r="AJ30" s="26">
        <f t="shared" si="55"/>
        <v>2</v>
      </c>
      <c r="AK30" s="26">
        <f t="shared" si="55"/>
        <v>2</v>
      </c>
      <c r="AL30" s="26">
        <f t="shared" si="55"/>
        <v>2</v>
      </c>
      <c r="AM30" s="26">
        <f>$D$30</f>
        <v>3</v>
      </c>
      <c r="AN30" s="26">
        <f aca="true" t="shared" si="56" ref="AN30:AX30">$D$30</f>
        <v>3</v>
      </c>
      <c r="AO30" s="26">
        <f t="shared" si="56"/>
        <v>3</v>
      </c>
      <c r="AP30" s="26">
        <f t="shared" si="56"/>
        <v>3</v>
      </c>
      <c r="AQ30" s="26">
        <f t="shared" si="56"/>
        <v>3</v>
      </c>
      <c r="AR30" s="26">
        <f t="shared" si="56"/>
        <v>3</v>
      </c>
      <c r="AS30" s="26">
        <f t="shared" si="56"/>
        <v>3</v>
      </c>
      <c r="AT30" s="26">
        <f t="shared" si="56"/>
        <v>3</v>
      </c>
      <c r="AU30" s="26">
        <f t="shared" si="56"/>
        <v>3</v>
      </c>
      <c r="AV30" s="26">
        <f t="shared" si="56"/>
        <v>3</v>
      </c>
      <c r="AW30" s="26">
        <f t="shared" si="56"/>
        <v>3</v>
      </c>
      <c r="AX30" s="26">
        <f t="shared" si="56"/>
        <v>3</v>
      </c>
      <c r="AZ30" s="23">
        <f>($G$30/12)*O30</f>
        <v>7083.333333333333</v>
      </c>
      <c r="BA30" s="23">
        <f aca="true" t="shared" si="57" ref="BA30:BK30">($G$30/12)*P30</f>
        <v>7083.333333333333</v>
      </c>
      <c r="BB30" s="23">
        <f t="shared" si="57"/>
        <v>7083.333333333333</v>
      </c>
      <c r="BC30" s="23">
        <f t="shared" si="57"/>
        <v>7083.333333333333</v>
      </c>
      <c r="BD30" s="23">
        <f t="shared" si="57"/>
        <v>7083.333333333333</v>
      </c>
      <c r="BE30" s="23">
        <f t="shared" si="57"/>
        <v>7083.333333333333</v>
      </c>
      <c r="BF30" s="23">
        <f t="shared" si="57"/>
        <v>7083.333333333333</v>
      </c>
      <c r="BG30" s="23">
        <f t="shared" si="57"/>
        <v>7083.333333333333</v>
      </c>
      <c r="BH30" s="23">
        <f t="shared" si="57"/>
        <v>7083.333333333333</v>
      </c>
      <c r="BI30" s="23">
        <f t="shared" si="57"/>
        <v>7083.333333333333</v>
      </c>
      <c r="BJ30" s="23">
        <f t="shared" si="57"/>
        <v>7083.333333333333</v>
      </c>
      <c r="BK30" s="23">
        <f t="shared" si="57"/>
        <v>7083.333333333333</v>
      </c>
      <c r="BL30" s="23">
        <f>($H$30/12)*AA30</f>
        <v>14450</v>
      </c>
      <c r="BM30" s="23">
        <f aca="true" t="shared" si="58" ref="BM30:BW30">($H$30/12)*AB30</f>
        <v>14450</v>
      </c>
      <c r="BN30" s="23">
        <f t="shared" si="58"/>
        <v>14450</v>
      </c>
      <c r="BO30" s="23">
        <f t="shared" si="58"/>
        <v>14450</v>
      </c>
      <c r="BP30" s="23">
        <f t="shared" si="58"/>
        <v>14450</v>
      </c>
      <c r="BQ30" s="23">
        <f t="shared" si="58"/>
        <v>14450</v>
      </c>
      <c r="BR30" s="23">
        <f t="shared" si="58"/>
        <v>14450</v>
      </c>
      <c r="BS30" s="23">
        <f t="shared" si="58"/>
        <v>14450</v>
      </c>
      <c r="BT30" s="23">
        <f t="shared" si="58"/>
        <v>14450</v>
      </c>
      <c r="BU30" s="23">
        <f t="shared" si="58"/>
        <v>14450</v>
      </c>
      <c r="BV30" s="23">
        <f t="shared" si="58"/>
        <v>14450</v>
      </c>
      <c r="BW30" s="23">
        <f t="shared" si="58"/>
        <v>14450</v>
      </c>
      <c r="BX30" s="23">
        <f>($I$30/12)*AM30</f>
        <v>22108.5</v>
      </c>
      <c r="BY30" s="23">
        <f aca="true" t="shared" si="59" ref="BY30:CI30">($I$30/12)*AN30</f>
        <v>22108.5</v>
      </c>
      <c r="BZ30" s="23">
        <f t="shared" si="59"/>
        <v>22108.5</v>
      </c>
      <c r="CA30" s="23">
        <f t="shared" si="59"/>
        <v>22108.5</v>
      </c>
      <c r="CB30" s="23">
        <f t="shared" si="59"/>
        <v>22108.5</v>
      </c>
      <c r="CC30" s="23">
        <f t="shared" si="59"/>
        <v>22108.5</v>
      </c>
      <c r="CD30" s="23">
        <f t="shared" si="59"/>
        <v>22108.5</v>
      </c>
      <c r="CE30" s="23">
        <f t="shared" si="59"/>
        <v>22108.5</v>
      </c>
      <c r="CF30" s="23">
        <f t="shared" si="59"/>
        <v>22108.5</v>
      </c>
      <c r="CG30" s="23">
        <f t="shared" si="59"/>
        <v>22108.5</v>
      </c>
      <c r="CH30" s="23">
        <f t="shared" si="59"/>
        <v>22108.5</v>
      </c>
      <c r="CI30" s="112">
        <f t="shared" si="59"/>
        <v>22108.5</v>
      </c>
    </row>
    <row r="31" spans="1:87" s="26" customFormat="1" ht="12.75" customHeight="1">
      <c r="A31" s="45" t="s">
        <v>258</v>
      </c>
      <c r="B31" s="211">
        <f>B97+B103+B137+B143+B156</f>
        <v>3.8</v>
      </c>
      <c r="C31" s="45">
        <f>C97+C103+C137+C143+C156</f>
        <v>3.8</v>
      </c>
      <c r="D31" s="45">
        <f>D97+D103+D137+D143+D156</f>
        <v>3.8</v>
      </c>
      <c r="E31" s="246"/>
      <c r="F31" s="212">
        <f>F97</f>
        <v>40000</v>
      </c>
      <c r="G31" s="23">
        <f t="shared" si="42"/>
        <v>40000</v>
      </c>
      <c r="H31" s="23">
        <f t="shared" si="43"/>
        <v>40800</v>
      </c>
      <c r="I31" s="23">
        <f t="shared" si="44"/>
        <v>41616</v>
      </c>
      <c r="J31" s="246"/>
      <c r="K31" s="158">
        <f t="shared" si="45"/>
        <v>152000</v>
      </c>
      <c r="L31" s="153">
        <f t="shared" si="46"/>
        <v>155040</v>
      </c>
      <c r="M31" s="153">
        <f t="shared" si="47"/>
        <v>158140.79999999996</v>
      </c>
      <c r="N31" s="246"/>
      <c r="O31" s="26">
        <f>$B$31</f>
        <v>3.8</v>
      </c>
      <c r="P31" s="26">
        <f aca="true" t="shared" si="60" ref="P31:Z31">$B$31</f>
        <v>3.8</v>
      </c>
      <c r="Q31" s="26">
        <f t="shared" si="60"/>
        <v>3.8</v>
      </c>
      <c r="R31" s="26">
        <f t="shared" si="60"/>
        <v>3.8</v>
      </c>
      <c r="S31" s="26">
        <f t="shared" si="60"/>
        <v>3.8</v>
      </c>
      <c r="T31" s="26">
        <f t="shared" si="60"/>
        <v>3.8</v>
      </c>
      <c r="U31" s="26">
        <f t="shared" si="60"/>
        <v>3.8</v>
      </c>
      <c r="V31" s="26">
        <f t="shared" si="60"/>
        <v>3.8</v>
      </c>
      <c r="W31" s="26">
        <f t="shared" si="60"/>
        <v>3.8</v>
      </c>
      <c r="X31" s="26">
        <f t="shared" si="60"/>
        <v>3.8</v>
      </c>
      <c r="Y31" s="26">
        <f t="shared" si="60"/>
        <v>3.8</v>
      </c>
      <c r="Z31" s="26">
        <f t="shared" si="60"/>
        <v>3.8</v>
      </c>
      <c r="AA31" s="26">
        <f>$C$31</f>
        <v>3.8</v>
      </c>
      <c r="AB31" s="26">
        <f aca="true" t="shared" si="61" ref="AB31:AL31">$C$31</f>
        <v>3.8</v>
      </c>
      <c r="AC31" s="26">
        <f t="shared" si="61"/>
        <v>3.8</v>
      </c>
      <c r="AD31" s="26">
        <f t="shared" si="61"/>
        <v>3.8</v>
      </c>
      <c r="AE31" s="26">
        <f t="shared" si="61"/>
        <v>3.8</v>
      </c>
      <c r="AF31" s="26">
        <f t="shared" si="61"/>
        <v>3.8</v>
      </c>
      <c r="AG31" s="26">
        <f t="shared" si="61"/>
        <v>3.8</v>
      </c>
      <c r="AH31" s="26">
        <f t="shared" si="61"/>
        <v>3.8</v>
      </c>
      <c r="AI31" s="26">
        <f t="shared" si="61"/>
        <v>3.8</v>
      </c>
      <c r="AJ31" s="26">
        <f t="shared" si="61"/>
        <v>3.8</v>
      </c>
      <c r="AK31" s="26">
        <f t="shared" si="61"/>
        <v>3.8</v>
      </c>
      <c r="AL31" s="26">
        <f t="shared" si="61"/>
        <v>3.8</v>
      </c>
      <c r="AM31" s="26">
        <f>$D$31</f>
        <v>3.8</v>
      </c>
      <c r="AN31" s="26">
        <f aca="true" t="shared" si="62" ref="AN31:AX31">$D$31</f>
        <v>3.8</v>
      </c>
      <c r="AO31" s="26">
        <f t="shared" si="62"/>
        <v>3.8</v>
      </c>
      <c r="AP31" s="26">
        <f t="shared" si="62"/>
        <v>3.8</v>
      </c>
      <c r="AQ31" s="26">
        <f t="shared" si="62"/>
        <v>3.8</v>
      </c>
      <c r="AR31" s="26">
        <f t="shared" si="62"/>
        <v>3.8</v>
      </c>
      <c r="AS31" s="26">
        <f t="shared" si="62"/>
        <v>3.8</v>
      </c>
      <c r="AT31" s="26">
        <f t="shared" si="62"/>
        <v>3.8</v>
      </c>
      <c r="AU31" s="26">
        <f t="shared" si="62"/>
        <v>3.8</v>
      </c>
      <c r="AV31" s="26">
        <f t="shared" si="62"/>
        <v>3.8</v>
      </c>
      <c r="AW31" s="26">
        <f t="shared" si="62"/>
        <v>3.8</v>
      </c>
      <c r="AX31" s="26">
        <f t="shared" si="62"/>
        <v>3.8</v>
      </c>
      <c r="AZ31" s="23">
        <f>($G$31/12)*O31</f>
        <v>12666.666666666666</v>
      </c>
      <c r="BA31" s="23">
        <f aca="true" t="shared" si="63" ref="BA31:BK31">($G$31/12)*P31</f>
        <v>12666.666666666666</v>
      </c>
      <c r="BB31" s="23">
        <f t="shared" si="63"/>
        <v>12666.666666666666</v>
      </c>
      <c r="BC31" s="23">
        <f t="shared" si="63"/>
        <v>12666.666666666666</v>
      </c>
      <c r="BD31" s="23">
        <f t="shared" si="63"/>
        <v>12666.666666666666</v>
      </c>
      <c r="BE31" s="23">
        <f t="shared" si="63"/>
        <v>12666.666666666666</v>
      </c>
      <c r="BF31" s="23">
        <f t="shared" si="63"/>
        <v>12666.666666666666</v>
      </c>
      <c r="BG31" s="23">
        <f t="shared" si="63"/>
        <v>12666.666666666666</v>
      </c>
      <c r="BH31" s="23">
        <f t="shared" si="63"/>
        <v>12666.666666666666</v>
      </c>
      <c r="BI31" s="23">
        <f t="shared" si="63"/>
        <v>12666.666666666666</v>
      </c>
      <c r="BJ31" s="23">
        <f t="shared" si="63"/>
        <v>12666.666666666666</v>
      </c>
      <c r="BK31" s="23">
        <f t="shared" si="63"/>
        <v>12666.666666666666</v>
      </c>
      <c r="BL31" s="23">
        <f>($H$31/12)*AA31</f>
        <v>12920</v>
      </c>
      <c r="BM31" s="23">
        <f aca="true" t="shared" si="64" ref="BM31:BW31">($H$31/12)*AB31</f>
        <v>12920</v>
      </c>
      <c r="BN31" s="23">
        <f t="shared" si="64"/>
        <v>12920</v>
      </c>
      <c r="BO31" s="23">
        <f t="shared" si="64"/>
        <v>12920</v>
      </c>
      <c r="BP31" s="23">
        <f t="shared" si="64"/>
        <v>12920</v>
      </c>
      <c r="BQ31" s="23">
        <f t="shared" si="64"/>
        <v>12920</v>
      </c>
      <c r="BR31" s="23">
        <f t="shared" si="64"/>
        <v>12920</v>
      </c>
      <c r="BS31" s="23">
        <f t="shared" si="64"/>
        <v>12920</v>
      </c>
      <c r="BT31" s="23">
        <f t="shared" si="64"/>
        <v>12920</v>
      </c>
      <c r="BU31" s="23">
        <f t="shared" si="64"/>
        <v>12920</v>
      </c>
      <c r="BV31" s="23">
        <f t="shared" si="64"/>
        <v>12920</v>
      </c>
      <c r="BW31" s="23">
        <f t="shared" si="64"/>
        <v>12920</v>
      </c>
      <c r="BX31" s="23">
        <f>($I$31/12)*AM31</f>
        <v>13178.4</v>
      </c>
      <c r="BY31" s="23">
        <f aca="true" t="shared" si="65" ref="BY31:CI31">($I$31/12)*AN31</f>
        <v>13178.4</v>
      </c>
      <c r="BZ31" s="23">
        <f t="shared" si="65"/>
        <v>13178.4</v>
      </c>
      <c r="CA31" s="23">
        <f t="shared" si="65"/>
        <v>13178.4</v>
      </c>
      <c r="CB31" s="23">
        <f t="shared" si="65"/>
        <v>13178.4</v>
      </c>
      <c r="CC31" s="23">
        <f t="shared" si="65"/>
        <v>13178.4</v>
      </c>
      <c r="CD31" s="23">
        <f t="shared" si="65"/>
        <v>13178.4</v>
      </c>
      <c r="CE31" s="23">
        <f t="shared" si="65"/>
        <v>13178.4</v>
      </c>
      <c r="CF31" s="23">
        <f t="shared" si="65"/>
        <v>13178.4</v>
      </c>
      <c r="CG31" s="23">
        <f t="shared" si="65"/>
        <v>13178.4</v>
      </c>
      <c r="CH31" s="23">
        <f t="shared" si="65"/>
        <v>13178.4</v>
      </c>
      <c r="CI31" s="112">
        <f t="shared" si="65"/>
        <v>13178.4</v>
      </c>
    </row>
    <row r="32" spans="1:87" s="26" customFormat="1" ht="12.75" customHeight="1">
      <c r="A32" s="45" t="s">
        <v>259</v>
      </c>
      <c r="B32" s="211">
        <f>B109+B135</f>
        <v>1</v>
      </c>
      <c r="C32" s="45">
        <f>C109+C135</f>
        <v>3</v>
      </c>
      <c r="D32" s="45">
        <f>D109+D135</f>
        <v>4</v>
      </c>
      <c r="E32" s="246"/>
      <c r="F32" s="212">
        <f>F109</f>
        <v>40000</v>
      </c>
      <c r="G32" s="23">
        <f t="shared" si="42"/>
        <v>40000</v>
      </c>
      <c r="H32" s="23">
        <f t="shared" si="43"/>
        <v>40800</v>
      </c>
      <c r="I32" s="23">
        <f t="shared" si="44"/>
        <v>41616</v>
      </c>
      <c r="J32" s="246"/>
      <c r="K32" s="158">
        <f t="shared" si="45"/>
        <v>40000</v>
      </c>
      <c r="L32" s="153">
        <f t="shared" si="46"/>
        <v>122400</v>
      </c>
      <c r="M32" s="153">
        <f t="shared" si="47"/>
        <v>166464</v>
      </c>
      <c r="N32" s="246"/>
      <c r="O32" s="26">
        <f>$B$32</f>
        <v>1</v>
      </c>
      <c r="P32" s="26">
        <f aca="true" t="shared" si="66" ref="P32:Z32">$B$32</f>
        <v>1</v>
      </c>
      <c r="Q32" s="26">
        <f t="shared" si="66"/>
        <v>1</v>
      </c>
      <c r="R32" s="26">
        <f t="shared" si="66"/>
        <v>1</v>
      </c>
      <c r="S32" s="26">
        <f t="shared" si="66"/>
        <v>1</v>
      </c>
      <c r="T32" s="26">
        <f t="shared" si="66"/>
        <v>1</v>
      </c>
      <c r="U32" s="26">
        <f t="shared" si="66"/>
        <v>1</v>
      </c>
      <c r="V32" s="26">
        <f t="shared" si="66"/>
        <v>1</v>
      </c>
      <c r="W32" s="26">
        <f t="shared" si="66"/>
        <v>1</v>
      </c>
      <c r="X32" s="26">
        <f t="shared" si="66"/>
        <v>1</v>
      </c>
      <c r="Y32" s="26">
        <f t="shared" si="66"/>
        <v>1</v>
      </c>
      <c r="Z32" s="26">
        <f t="shared" si="66"/>
        <v>1</v>
      </c>
      <c r="AA32" s="26">
        <f>$C$32</f>
        <v>3</v>
      </c>
      <c r="AB32" s="26">
        <f aca="true" t="shared" si="67" ref="AB32:AL32">$C$32</f>
        <v>3</v>
      </c>
      <c r="AC32" s="26">
        <f t="shared" si="67"/>
        <v>3</v>
      </c>
      <c r="AD32" s="26">
        <f t="shared" si="67"/>
        <v>3</v>
      </c>
      <c r="AE32" s="26">
        <f t="shared" si="67"/>
        <v>3</v>
      </c>
      <c r="AF32" s="26">
        <f t="shared" si="67"/>
        <v>3</v>
      </c>
      <c r="AG32" s="26">
        <f t="shared" si="67"/>
        <v>3</v>
      </c>
      <c r="AH32" s="26">
        <f t="shared" si="67"/>
        <v>3</v>
      </c>
      <c r="AI32" s="26">
        <f t="shared" si="67"/>
        <v>3</v>
      </c>
      <c r="AJ32" s="26">
        <f t="shared" si="67"/>
        <v>3</v>
      </c>
      <c r="AK32" s="26">
        <f t="shared" si="67"/>
        <v>3</v>
      </c>
      <c r="AL32" s="26">
        <f t="shared" si="67"/>
        <v>3</v>
      </c>
      <c r="AM32" s="26">
        <f>$D$32</f>
        <v>4</v>
      </c>
      <c r="AN32" s="26">
        <f aca="true" t="shared" si="68" ref="AN32:AX32">$D$32</f>
        <v>4</v>
      </c>
      <c r="AO32" s="26">
        <f t="shared" si="68"/>
        <v>4</v>
      </c>
      <c r="AP32" s="26">
        <f t="shared" si="68"/>
        <v>4</v>
      </c>
      <c r="AQ32" s="26">
        <f t="shared" si="68"/>
        <v>4</v>
      </c>
      <c r="AR32" s="26">
        <f t="shared" si="68"/>
        <v>4</v>
      </c>
      <c r="AS32" s="26">
        <f t="shared" si="68"/>
        <v>4</v>
      </c>
      <c r="AT32" s="26">
        <f t="shared" si="68"/>
        <v>4</v>
      </c>
      <c r="AU32" s="26">
        <f t="shared" si="68"/>
        <v>4</v>
      </c>
      <c r="AV32" s="26">
        <f t="shared" si="68"/>
        <v>4</v>
      </c>
      <c r="AW32" s="26">
        <f t="shared" si="68"/>
        <v>4</v>
      </c>
      <c r="AX32" s="26">
        <f t="shared" si="68"/>
        <v>4</v>
      </c>
      <c r="AZ32" s="23">
        <f>($G$32/12)*O32</f>
        <v>3333.3333333333335</v>
      </c>
      <c r="BA32" s="23">
        <f aca="true" t="shared" si="69" ref="BA32:BK32">($G$32/12)*P32</f>
        <v>3333.3333333333335</v>
      </c>
      <c r="BB32" s="23">
        <f t="shared" si="69"/>
        <v>3333.3333333333335</v>
      </c>
      <c r="BC32" s="23">
        <f t="shared" si="69"/>
        <v>3333.3333333333335</v>
      </c>
      <c r="BD32" s="23">
        <f t="shared" si="69"/>
        <v>3333.3333333333335</v>
      </c>
      <c r="BE32" s="23">
        <f t="shared" si="69"/>
        <v>3333.3333333333335</v>
      </c>
      <c r="BF32" s="23">
        <f t="shared" si="69"/>
        <v>3333.3333333333335</v>
      </c>
      <c r="BG32" s="23">
        <f t="shared" si="69"/>
        <v>3333.3333333333335</v>
      </c>
      <c r="BH32" s="23">
        <f t="shared" si="69"/>
        <v>3333.3333333333335</v>
      </c>
      <c r="BI32" s="23">
        <f t="shared" si="69"/>
        <v>3333.3333333333335</v>
      </c>
      <c r="BJ32" s="23">
        <f t="shared" si="69"/>
        <v>3333.3333333333335</v>
      </c>
      <c r="BK32" s="23">
        <f t="shared" si="69"/>
        <v>3333.3333333333335</v>
      </c>
      <c r="BL32" s="23">
        <f>($H$32/12)*AA32</f>
        <v>10200</v>
      </c>
      <c r="BM32" s="23">
        <f aca="true" t="shared" si="70" ref="BM32:BW32">($H$32/12)*AB32</f>
        <v>10200</v>
      </c>
      <c r="BN32" s="23">
        <f t="shared" si="70"/>
        <v>10200</v>
      </c>
      <c r="BO32" s="23">
        <f t="shared" si="70"/>
        <v>10200</v>
      </c>
      <c r="BP32" s="23">
        <f t="shared" si="70"/>
        <v>10200</v>
      </c>
      <c r="BQ32" s="23">
        <f t="shared" si="70"/>
        <v>10200</v>
      </c>
      <c r="BR32" s="23">
        <f t="shared" si="70"/>
        <v>10200</v>
      </c>
      <c r="BS32" s="23">
        <f t="shared" si="70"/>
        <v>10200</v>
      </c>
      <c r="BT32" s="23">
        <f t="shared" si="70"/>
        <v>10200</v>
      </c>
      <c r="BU32" s="23">
        <f t="shared" si="70"/>
        <v>10200</v>
      </c>
      <c r="BV32" s="23">
        <f t="shared" si="70"/>
        <v>10200</v>
      </c>
      <c r="BW32" s="23">
        <f t="shared" si="70"/>
        <v>10200</v>
      </c>
      <c r="BX32" s="23">
        <f>($I$32/12)*AM32</f>
        <v>13872</v>
      </c>
      <c r="BY32" s="23">
        <f aca="true" t="shared" si="71" ref="BY32:CI32">($I$32/12)*AN32</f>
        <v>13872</v>
      </c>
      <c r="BZ32" s="23">
        <f t="shared" si="71"/>
        <v>13872</v>
      </c>
      <c r="CA32" s="23">
        <f t="shared" si="71"/>
        <v>13872</v>
      </c>
      <c r="CB32" s="23">
        <f t="shared" si="71"/>
        <v>13872</v>
      </c>
      <c r="CC32" s="23">
        <f t="shared" si="71"/>
        <v>13872</v>
      </c>
      <c r="CD32" s="23">
        <f t="shared" si="71"/>
        <v>13872</v>
      </c>
      <c r="CE32" s="23">
        <f t="shared" si="71"/>
        <v>13872</v>
      </c>
      <c r="CF32" s="23">
        <f t="shared" si="71"/>
        <v>13872</v>
      </c>
      <c r="CG32" s="23">
        <f t="shared" si="71"/>
        <v>13872</v>
      </c>
      <c r="CH32" s="23">
        <f t="shared" si="71"/>
        <v>13872</v>
      </c>
      <c r="CI32" s="112">
        <f t="shared" si="71"/>
        <v>13872</v>
      </c>
    </row>
    <row r="33" spans="1:87" s="26" customFormat="1" ht="12.75" customHeight="1">
      <c r="A33" s="45" t="s">
        <v>371</v>
      </c>
      <c r="B33" s="211">
        <f>B124</f>
        <v>0</v>
      </c>
      <c r="C33" s="45">
        <f>C124</f>
        <v>0.3</v>
      </c>
      <c r="D33" s="45">
        <f>D124</f>
        <v>0.6</v>
      </c>
      <c r="E33" s="246"/>
      <c r="F33" s="212">
        <f>F124</f>
        <v>60000</v>
      </c>
      <c r="G33" s="23">
        <f t="shared" si="42"/>
        <v>60000</v>
      </c>
      <c r="H33" s="23">
        <f t="shared" si="43"/>
        <v>61200</v>
      </c>
      <c r="I33" s="23">
        <f t="shared" si="44"/>
        <v>62424</v>
      </c>
      <c r="J33" s="246"/>
      <c r="K33" s="158">
        <f t="shared" si="45"/>
        <v>0</v>
      </c>
      <c r="L33" s="153">
        <f t="shared" si="46"/>
        <v>18360</v>
      </c>
      <c r="M33" s="153">
        <f t="shared" si="47"/>
        <v>37454.4</v>
      </c>
      <c r="N33" s="246"/>
      <c r="O33" s="26">
        <f>$B$33</f>
        <v>0</v>
      </c>
      <c r="P33" s="26">
        <f aca="true" t="shared" si="72" ref="P33:Z33">$B$33</f>
        <v>0</v>
      </c>
      <c r="Q33" s="26">
        <f t="shared" si="72"/>
        <v>0</v>
      </c>
      <c r="R33" s="26">
        <f t="shared" si="72"/>
        <v>0</v>
      </c>
      <c r="S33" s="26">
        <f t="shared" si="72"/>
        <v>0</v>
      </c>
      <c r="T33" s="26">
        <f t="shared" si="72"/>
        <v>0</v>
      </c>
      <c r="U33" s="26">
        <f t="shared" si="72"/>
        <v>0</v>
      </c>
      <c r="V33" s="26">
        <f t="shared" si="72"/>
        <v>0</v>
      </c>
      <c r="W33" s="26">
        <f t="shared" si="72"/>
        <v>0</v>
      </c>
      <c r="X33" s="26">
        <f t="shared" si="72"/>
        <v>0</v>
      </c>
      <c r="Y33" s="26">
        <f t="shared" si="72"/>
        <v>0</v>
      </c>
      <c r="Z33" s="26">
        <f t="shared" si="72"/>
        <v>0</v>
      </c>
      <c r="AA33" s="26">
        <f>$C$33</f>
        <v>0.3</v>
      </c>
      <c r="AB33" s="26">
        <f aca="true" t="shared" si="73" ref="AB33:AL33">$C$33</f>
        <v>0.3</v>
      </c>
      <c r="AC33" s="26">
        <f t="shared" si="73"/>
        <v>0.3</v>
      </c>
      <c r="AD33" s="26">
        <f t="shared" si="73"/>
        <v>0.3</v>
      </c>
      <c r="AE33" s="26">
        <f t="shared" si="73"/>
        <v>0.3</v>
      </c>
      <c r="AF33" s="26">
        <f t="shared" si="73"/>
        <v>0.3</v>
      </c>
      <c r="AG33" s="26">
        <f t="shared" si="73"/>
        <v>0.3</v>
      </c>
      <c r="AH33" s="26">
        <f t="shared" si="73"/>
        <v>0.3</v>
      </c>
      <c r="AI33" s="26">
        <f t="shared" si="73"/>
        <v>0.3</v>
      </c>
      <c r="AJ33" s="26">
        <f t="shared" si="73"/>
        <v>0.3</v>
      </c>
      <c r="AK33" s="26">
        <f t="shared" si="73"/>
        <v>0.3</v>
      </c>
      <c r="AL33" s="26">
        <f t="shared" si="73"/>
        <v>0.3</v>
      </c>
      <c r="AM33" s="26">
        <f>$D$33</f>
        <v>0.6</v>
      </c>
      <c r="AN33" s="26">
        <f aca="true" t="shared" si="74" ref="AN33:AX33">$D$33</f>
        <v>0.6</v>
      </c>
      <c r="AO33" s="26">
        <f t="shared" si="74"/>
        <v>0.6</v>
      </c>
      <c r="AP33" s="26">
        <f t="shared" si="74"/>
        <v>0.6</v>
      </c>
      <c r="AQ33" s="26">
        <f t="shared" si="74"/>
        <v>0.6</v>
      </c>
      <c r="AR33" s="26">
        <f t="shared" si="74"/>
        <v>0.6</v>
      </c>
      <c r="AS33" s="26">
        <f t="shared" si="74"/>
        <v>0.6</v>
      </c>
      <c r="AT33" s="26">
        <f t="shared" si="74"/>
        <v>0.6</v>
      </c>
      <c r="AU33" s="26">
        <f t="shared" si="74"/>
        <v>0.6</v>
      </c>
      <c r="AV33" s="26">
        <f t="shared" si="74"/>
        <v>0.6</v>
      </c>
      <c r="AW33" s="26">
        <f t="shared" si="74"/>
        <v>0.6</v>
      </c>
      <c r="AX33" s="26">
        <f t="shared" si="74"/>
        <v>0.6</v>
      </c>
      <c r="AZ33" s="23">
        <f>($G$33/12)*O33</f>
        <v>0</v>
      </c>
      <c r="BA33" s="23">
        <f aca="true" t="shared" si="75" ref="BA33:BK33">($G$33/12)*P33</f>
        <v>0</v>
      </c>
      <c r="BB33" s="23">
        <f t="shared" si="75"/>
        <v>0</v>
      </c>
      <c r="BC33" s="23">
        <f t="shared" si="75"/>
        <v>0</v>
      </c>
      <c r="BD33" s="23">
        <f t="shared" si="75"/>
        <v>0</v>
      </c>
      <c r="BE33" s="23">
        <f t="shared" si="75"/>
        <v>0</v>
      </c>
      <c r="BF33" s="23">
        <f t="shared" si="75"/>
        <v>0</v>
      </c>
      <c r="BG33" s="23">
        <f t="shared" si="75"/>
        <v>0</v>
      </c>
      <c r="BH33" s="23">
        <f t="shared" si="75"/>
        <v>0</v>
      </c>
      <c r="BI33" s="23">
        <f t="shared" si="75"/>
        <v>0</v>
      </c>
      <c r="BJ33" s="23">
        <f t="shared" si="75"/>
        <v>0</v>
      </c>
      <c r="BK33" s="23">
        <f t="shared" si="75"/>
        <v>0</v>
      </c>
      <c r="BL33" s="23">
        <f>($H$33/12)*AA33</f>
        <v>1530</v>
      </c>
      <c r="BM33" s="23">
        <f aca="true" t="shared" si="76" ref="BM33:BW33">($H$33/12)*AB33</f>
        <v>1530</v>
      </c>
      <c r="BN33" s="23">
        <f t="shared" si="76"/>
        <v>1530</v>
      </c>
      <c r="BO33" s="23">
        <f t="shared" si="76"/>
        <v>1530</v>
      </c>
      <c r="BP33" s="23">
        <f t="shared" si="76"/>
        <v>1530</v>
      </c>
      <c r="BQ33" s="23">
        <f t="shared" si="76"/>
        <v>1530</v>
      </c>
      <c r="BR33" s="23">
        <f t="shared" si="76"/>
        <v>1530</v>
      </c>
      <c r="BS33" s="23">
        <f t="shared" si="76"/>
        <v>1530</v>
      </c>
      <c r="BT33" s="23">
        <f t="shared" si="76"/>
        <v>1530</v>
      </c>
      <c r="BU33" s="23">
        <f t="shared" si="76"/>
        <v>1530</v>
      </c>
      <c r="BV33" s="23">
        <f t="shared" si="76"/>
        <v>1530</v>
      </c>
      <c r="BW33" s="23">
        <f t="shared" si="76"/>
        <v>1530</v>
      </c>
      <c r="BX33" s="23">
        <f>($I$33/12)*AM33</f>
        <v>3121.2</v>
      </c>
      <c r="BY33" s="23">
        <f aca="true" t="shared" si="77" ref="BY33:CI33">($I$33/12)*AN33</f>
        <v>3121.2</v>
      </c>
      <c r="BZ33" s="23">
        <f t="shared" si="77"/>
        <v>3121.2</v>
      </c>
      <c r="CA33" s="23">
        <f t="shared" si="77"/>
        <v>3121.2</v>
      </c>
      <c r="CB33" s="23">
        <f t="shared" si="77"/>
        <v>3121.2</v>
      </c>
      <c r="CC33" s="23">
        <f t="shared" si="77"/>
        <v>3121.2</v>
      </c>
      <c r="CD33" s="23">
        <f t="shared" si="77"/>
        <v>3121.2</v>
      </c>
      <c r="CE33" s="23">
        <f t="shared" si="77"/>
        <v>3121.2</v>
      </c>
      <c r="CF33" s="23">
        <f t="shared" si="77"/>
        <v>3121.2</v>
      </c>
      <c r="CG33" s="23">
        <f t="shared" si="77"/>
        <v>3121.2</v>
      </c>
      <c r="CH33" s="23">
        <f t="shared" si="77"/>
        <v>3121.2</v>
      </c>
      <c r="CI33" s="112">
        <f t="shared" si="77"/>
        <v>3121.2</v>
      </c>
    </row>
    <row r="34" spans="1:87" s="26" customFormat="1" ht="12.75" customHeight="1">
      <c r="A34" s="45" t="s">
        <v>372</v>
      </c>
      <c r="B34" s="211">
        <f>B110+B125+B136</f>
        <v>0.3</v>
      </c>
      <c r="C34" s="45">
        <f>C110+C125+C136</f>
        <v>1.9</v>
      </c>
      <c r="D34" s="45">
        <f>D110+D125+D136</f>
        <v>3.3</v>
      </c>
      <c r="E34" s="246"/>
      <c r="F34" s="212">
        <f>F110</f>
        <v>35000</v>
      </c>
      <c r="G34" s="23">
        <f t="shared" si="42"/>
        <v>35000</v>
      </c>
      <c r="H34" s="23">
        <f t="shared" si="43"/>
        <v>35700</v>
      </c>
      <c r="I34" s="23">
        <f t="shared" si="44"/>
        <v>36414</v>
      </c>
      <c r="J34" s="246"/>
      <c r="K34" s="158">
        <f t="shared" si="45"/>
        <v>10499.999999999998</v>
      </c>
      <c r="L34" s="153">
        <f t="shared" si="46"/>
        <v>67830</v>
      </c>
      <c r="M34" s="153">
        <f t="shared" si="47"/>
        <v>120166.20000000003</v>
      </c>
      <c r="N34" s="246"/>
      <c r="O34" s="26">
        <f>$B$34</f>
        <v>0.3</v>
      </c>
      <c r="P34" s="26">
        <f aca="true" t="shared" si="78" ref="P34:Z34">$B$34</f>
        <v>0.3</v>
      </c>
      <c r="Q34" s="26">
        <f t="shared" si="78"/>
        <v>0.3</v>
      </c>
      <c r="R34" s="26">
        <f t="shared" si="78"/>
        <v>0.3</v>
      </c>
      <c r="S34" s="26">
        <f t="shared" si="78"/>
        <v>0.3</v>
      </c>
      <c r="T34" s="26">
        <f t="shared" si="78"/>
        <v>0.3</v>
      </c>
      <c r="U34" s="26">
        <f t="shared" si="78"/>
        <v>0.3</v>
      </c>
      <c r="V34" s="26">
        <f t="shared" si="78"/>
        <v>0.3</v>
      </c>
      <c r="W34" s="26">
        <f t="shared" si="78"/>
        <v>0.3</v>
      </c>
      <c r="X34" s="26">
        <f t="shared" si="78"/>
        <v>0.3</v>
      </c>
      <c r="Y34" s="26">
        <f t="shared" si="78"/>
        <v>0.3</v>
      </c>
      <c r="Z34" s="26">
        <f t="shared" si="78"/>
        <v>0.3</v>
      </c>
      <c r="AA34" s="26">
        <f>$C$34</f>
        <v>1.9</v>
      </c>
      <c r="AB34" s="26">
        <f aca="true" t="shared" si="79" ref="AB34:AL34">$C$34</f>
        <v>1.9</v>
      </c>
      <c r="AC34" s="26">
        <f t="shared" si="79"/>
        <v>1.9</v>
      </c>
      <c r="AD34" s="26">
        <f t="shared" si="79"/>
        <v>1.9</v>
      </c>
      <c r="AE34" s="26">
        <f t="shared" si="79"/>
        <v>1.9</v>
      </c>
      <c r="AF34" s="26">
        <f t="shared" si="79"/>
        <v>1.9</v>
      </c>
      <c r="AG34" s="26">
        <f t="shared" si="79"/>
        <v>1.9</v>
      </c>
      <c r="AH34" s="26">
        <f t="shared" si="79"/>
        <v>1.9</v>
      </c>
      <c r="AI34" s="26">
        <f t="shared" si="79"/>
        <v>1.9</v>
      </c>
      <c r="AJ34" s="26">
        <f t="shared" si="79"/>
        <v>1.9</v>
      </c>
      <c r="AK34" s="26">
        <f t="shared" si="79"/>
        <v>1.9</v>
      </c>
      <c r="AL34" s="26">
        <f t="shared" si="79"/>
        <v>1.9</v>
      </c>
      <c r="AM34" s="26">
        <f>$D$34</f>
        <v>3.3</v>
      </c>
      <c r="AN34" s="26">
        <f aca="true" t="shared" si="80" ref="AN34:AX34">$D$34</f>
        <v>3.3</v>
      </c>
      <c r="AO34" s="26">
        <f t="shared" si="80"/>
        <v>3.3</v>
      </c>
      <c r="AP34" s="26">
        <f t="shared" si="80"/>
        <v>3.3</v>
      </c>
      <c r="AQ34" s="26">
        <f t="shared" si="80"/>
        <v>3.3</v>
      </c>
      <c r="AR34" s="26">
        <f t="shared" si="80"/>
        <v>3.3</v>
      </c>
      <c r="AS34" s="26">
        <f t="shared" si="80"/>
        <v>3.3</v>
      </c>
      <c r="AT34" s="26">
        <f t="shared" si="80"/>
        <v>3.3</v>
      </c>
      <c r="AU34" s="26">
        <f t="shared" si="80"/>
        <v>3.3</v>
      </c>
      <c r="AV34" s="26">
        <f t="shared" si="80"/>
        <v>3.3</v>
      </c>
      <c r="AW34" s="26">
        <f t="shared" si="80"/>
        <v>3.3</v>
      </c>
      <c r="AX34" s="26">
        <f t="shared" si="80"/>
        <v>3.3</v>
      </c>
      <c r="AZ34" s="23">
        <f>($G$34/12)*O34</f>
        <v>874.9999999999999</v>
      </c>
      <c r="BA34" s="23">
        <f aca="true" t="shared" si="81" ref="BA34:BK34">($G$34/12)*P34</f>
        <v>874.9999999999999</v>
      </c>
      <c r="BB34" s="23">
        <f t="shared" si="81"/>
        <v>874.9999999999999</v>
      </c>
      <c r="BC34" s="23">
        <f t="shared" si="81"/>
        <v>874.9999999999999</v>
      </c>
      <c r="BD34" s="23">
        <f t="shared" si="81"/>
        <v>874.9999999999999</v>
      </c>
      <c r="BE34" s="23">
        <f t="shared" si="81"/>
        <v>874.9999999999999</v>
      </c>
      <c r="BF34" s="23">
        <f t="shared" si="81"/>
        <v>874.9999999999999</v>
      </c>
      <c r="BG34" s="23">
        <f t="shared" si="81"/>
        <v>874.9999999999999</v>
      </c>
      <c r="BH34" s="23">
        <f t="shared" si="81"/>
        <v>874.9999999999999</v>
      </c>
      <c r="BI34" s="23">
        <f t="shared" si="81"/>
        <v>874.9999999999999</v>
      </c>
      <c r="BJ34" s="23">
        <f t="shared" si="81"/>
        <v>874.9999999999999</v>
      </c>
      <c r="BK34" s="23">
        <f t="shared" si="81"/>
        <v>874.9999999999999</v>
      </c>
      <c r="BL34" s="23">
        <f>($H$34/12)*AA34</f>
        <v>5652.5</v>
      </c>
      <c r="BM34" s="23">
        <f aca="true" t="shared" si="82" ref="BM34:BW34">($H$34/12)*AB34</f>
        <v>5652.5</v>
      </c>
      <c r="BN34" s="23">
        <f t="shared" si="82"/>
        <v>5652.5</v>
      </c>
      <c r="BO34" s="23">
        <f t="shared" si="82"/>
        <v>5652.5</v>
      </c>
      <c r="BP34" s="23">
        <f t="shared" si="82"/>
        <v>5652.5</v>
      </c>
      <c r="BQ34" s="23">
        <f t="shared" si="82"/>
        <v>5652.5</v>
      </c>
      <c r="BR34" s="23">
        <f t="shared" si="82"/>
        <v>5652.5</v>
      </c>
      <c r="BS34" s="23">
        <f t="shared" si="82"/>
        <v>5652.5</v>
      </c>
      <c r="BT34" s="23">
        <f t="shared" si="82"/>
        <v>5652.5</v>
      </c>
      <c r="BU34" s="23">
        <f t="shared" si="82"/>
        <v>5652.5</v>
      </c>
      <c r="BV34" s="23">
        <f t="shared" si="82"/>
        <v>5652.5</v>
      </c>
      <c r="BW34" s="23">
        <f t="shared" si="82"/>
        <v>5652.5</v>
      </c>
      <c r="BX34" s="23">
        <f>($I$34/12)*AM34</f>
        <v>10013.85</v>
      </c>
      <c r="BY34" s="23">
        <f aca="true" t="shared" si="83" ref="BY34:CI34">($I$34/12)*AN34</f>
        <v>10013.85</v>
      </c>
      <c r="BZ34" s="23">
        <f t="shared" si="83"/>
        <v>10013.85</v>
      </c>
      <c r="CA34" s="23">
        <f t="shared" si="83"/>
        <v>10013.85</v>
      </c>
      <c r="CB34" s="23">
        <f t="shared" si="83"/>
        <v>10013.85</v>
      </c>
      <c r="CC34" s="23">
        <f t="shared" si="83"/>
        <v>10013.85</v>
      </c>
      <c r="CD34" s="23">
        <f t="shared" si="83"/>
        <v>10013.85</v>
      </c>
      <c r="CE34" s="23">
        <f t="shared" si="83"/>
        <v>10013.85</v>
      </c>
      <c r="CF34" s="23">
        <f t="shared" si="83"/>
        <v>10013.85</v>
      </c>
      <c r="CG34" s="23">
        <f t="shared" si="83"/>
        <v>10013.85</v>
      </c>
      <c r="CH34" s="23">
        <f t="shared" si="83"/>
        <v>10013.85</v>
      </c>
      <c r="CI34" s="112">
        <f t="shared" si="83"/>
        <v>10013.85</v>
      </c>
    </row>
    <row r="35" spans="1:87" s="52" customFormat="1" ht="12.75" customHeight="1">
      <c r="A35" s="34" t="s">
        <v>373</v>
      </c>
      <c r="B35" s="33">
        <f>B74</f>
        <v>4</v>
      </c>
      <c r="C35" s="34">
        <f>C74</f>
        <v>4</v>
      </c>
      <c r="D35" s="34">
        <f>D74</f>
        <v>4</v>
      </c>
      <c r="E35" s="248"/>
      <c r="F35" s="213">
        <f>F74</f>
        <v>78000</v>
      </c>
      <c r="G35" s="116">
        <f t="shared" si="42"/>
        <v>78000</v>
      </c>
      <c r="H35" s="116">
        <f t="shared" si="43"/>
        <v>79560</v>
      </c>
      <c r="I35" s="116">
        <f t="shared" si="44"/>
        <v>81151.2</v>
      </c>
      <c r="J35" s="248"/>
      <c r="K35" s="214">
        <f t="shared" si="45"/>
        <v>312000</v>
      </c>
      <c r="L35" s="215">
        <f t="shared" si="46"/>
        <v>318240</v>
      </c>
      <c r="M35" s="215">
        <f t="shared" si="47"/>
        <v>324604.80000000005</v>
      </c>
      <c r="N35" s="248"/>
      <c r="O35" s="52">
        <f>$B$35</f>
        <v>4</v>
      </c>
      <c r="P35" s="52">
        <f aca="true" t="shared" si="84" ref="P35:Z35">$B$35</f>
        <v>4</v>
      </c>
      <c r="Q35" s="52">
        <f t="shared" si="84"/>
        <v>4</v>
      </c>
      <c r="R35" s="52">
        <f t="shared" si="84"/>
        <v>4</v>
      </c>
      <c r="S35" s="52">
        <f t="shared" si="84"/>
        <v>4</v>
      </c>
      <c r="T35" s="52">
        <f t="shared" si="84"/>
        <v>4</v>
      </c>
      <c r="U35" s="52">
        <f t="shared" si="84"/>
        <v>4</v>
      </c>
      <c r="V35" s="52">
        <f t="shared" si="84"/>
        <v>4</v>
      </c>
      <c r="W35" s="52">
        <f t="shared" si="84"/>
        <v>4</v>
      </c>
      <c r="X35" s="52">
        <f t="shared" si="84"/>
        <v>4</v>
      </c>
      <c r="Y35" s="52">
        <f t="shared" si="84"/>
        <v>4</v>
      </c>
      <c r="Z35" s="52">
        <f t="shared" si="84"/>
        <v>4</v>
      </c>
      <c r="AA35" s="52">
        <f>$C$35</f>
        <v>4</v>
      </c>
      <c r="AB35" s="52">
        <f aca="true" t="shared" si="85" ref="AB35:AL35">$C$35</f>
        <v>4</v>
      </c>
      <c r="AC35" s="52">
        <f t="shared" si="85"/>
        <v>4</v>
      </c>
      <c r="AD35" s="52">
        <f t="shared" si="85"/>
        <v>4</v>
      </c>
      <c r="AE35" s="52">
        <f t="shared" si="85"/>
        <v>4</v>
      </c>
      <c r="AF35" s="52">
        <f t="shared" si="85"/>
        <v>4</v>
      </c>
      <c r="AG35" s="52">
        <f t="shared" si="85"/>
        <v>4</v>
      </c>
      <c r="AH35" s="52">
        <f t="shared" si="85"/>
        <v>4</v>
      </c>
      <c r="AI35" s="52">
        <f t="shared" si="85"/>
        <v>4</v>
      </c>
      <c r="AJ35" s="52">
        <f t="shared" si="85"/>
        <v>4</v>
      </c>
      <c r="AK35" s="52">
        <f t="shared" si="85"/>
        <v>4</v>
      </c>
      <c r="AL35" s="52">
        <f t="shared" si="85"/>
        <v>4</v>
      </c>
      <c r="AM35" s="52">
        <f>$D$35</f>
        <v>4</v>
      </c>
      <c r="AN35" s="52">
        <f aca="true" t="shared" si="86" ref="AN35:AX35">$D$35</f>
        <v>4</v>
      </c>
      <c r="AO35" s="52">
        <f t="shared" si="86"/>
        <v>4</v>
      </c>
      <c r="AP35" s="52">
        <f t="shared" si="86"/>
        <v>4</v>
      </c>
      <c r="AQ35" s="52">
        <f t="shared" si="86"/>
        <v>4</v>
      </c>
      <c r="AR35" s="52">
        <f t="shared" si="86"/>
        <v>4</v>
      </c>
      <c r="AS35" s="52">
        <f t="shared" si="86"/>
        <v>4</v>
      </c>
      <c r="AT35" s="52">
        <f t="shared" si="86"/>
        <v>4</v>
      </c>
      <c r="AU35" s="52">
        <f t="shared" si="86"/>
        <v>4</v>
      </c>
      <c r="AV35" s="52">
        <f t="shared" si="86"/>
        <v>4</v>
      </c>
      <c r="AW35" s="52">
        <f t="shared" si="86"/>
        <v>4</v>
      </c>
      <c r="AX35" s="52">
        <f t="shared" si="86"/>
        <v>4</v>
      </c>
      <c r="AZ35" s="116">
        <f>($G$35/12)*O35</f>
        <v>26000</v>
      </c>
      <c r="BA35" s="116">
        <f aca="true" t="shared" si="87" ref="BA35:BK35">($G$35/12)*P35</f>
        <v>26000</v>
      </c>
      <c r="BB35" s="116">
        <f t="shared" si="87"/>
        <v>26000</v>
      </c>
      <c r="BC35" s="116">
        <f t="shared" si="87"/>
        <v>26000</v>
      </c>
      <c r="BD35" s="116">
        <f t="shared" si="87"/>
        <v>26000</v>
      </c>
      <c r="BE35" s="116">
        <f t="shared" si="87"/>
        <v>26000</v>
      </c>
      <c r="BF35" s="116">
        <f t="shared" si="87"/>
        <v>26000</v>
      </c>
      <c r="BG35" s="116">
        <f t="shared" si="87"/>
        <v>26000</v>
      </c>
      <c r="BH35" s="116">
        <f t="shared" si="87"/>
        <v>26000</v>
      </c>
      <c r="BI35" s="116">
        <f t="shared" si="87"/>
        <v>26000</v>
      </c>
      <c r="BJ35" s="116">
        <f t="shared" si="87"/>
        <v>26000</v>
      </c>
      <c r="BK35" s="116">
        <f t="shared" si="87"/>
        <v>26000</v>
      </c>
      <c r="BL35" s="116">
        <f>($H$35/12)*AA35</f>
        <v>26520</v>
      </c>
      <c r="BM35" s="116">
        <f aca="true" t="shared" si="88" ref="BM35:BW35">($H$35/12)*AB35</f>
        <v>26520</v>
      </c>
      <c r="BN35" s="116">
        <f t="shared" si="88"/>
        <v>26520</v>
      </c>
      <c r="BO35" s="116">
        <f t="shared" si="88"/>
        <v>26520</v>
      </c>
      <c r="BP35" s="116">
        <f t="shared" si="88"/>
        <v>26520</v>
      </c>
      <c r="BQ35" s="116">
        <f t="shared" si="88"/>
        <v>26520</v>
      </c>
      <c r="BR35" s="116">
        <f t="shared" si="88"/>
        <v>26520</v>
      </c>
      <c r="BS35" s="116">
        <f t="shared" si="88"/>
        <v>26520</v>
      </c>
      <c r="BT35" s="116">
        <f t="shared" si="88"/>
        <v>26520</v>
      </c>
      <c r="BU35" s="116">
        <f t="shared" si="88"/>
        <v>26520</v>
      </c>
      <c r="BV35" s="116">
        <f t="shared" si="88"/>
        <v>26520</v>
      </c>
      <c r="BW35" s="116">
        <f t="shared" si="88"/>
        <v>26520</v>
      </c>
      <c r="BX35" s="116">
        <f>($I$35/12)*AM35</f>
        <v>27050.399999999998</v>
      </c>
      <c r="BY35" s="116">
        <f aca="true" t="shared" si="89" ref="BY35:CI35">($I$35/12)*AN35</f>
        <v>27050.399999999998</v>
      </c>
      <c r="BZ35" s="116">
        <f t="shared" si="89"/>
        <v>27050.399999999998</v>
      </c>
      <c r="CA35" s="116">
        <f t="shared" si="89"/>
        <v>27050.399999999998</v>
      </c>
      <c r="CB35" s="116">
        <f t="shared" si="89"/>
        <v>27050.399999999998</v>
      </c>
      <c r="CC35" s="116">
        <f t="shared" si="89"/>
        <v>27050.399999999998</v>
      </c>
      <c r="CD35" s="116">
        <f t="shared" si="89"/>
        <v>27050.399999999998</v>
      </c>
      <c r="CE35" s="116">
        <f t="shared" si="89"/>
        <v>27050.399999999998</v>
      </c>
      <c r="CF35" s="116">
        <f t="shared" si="89"/>
        <v>27050.399999999998</v>
      </c>
      <c r="CG35" s="116">
        <f t="shared" si="89"/>
        <v>27050.399999999998</v>
      </c>
      <c r="CH35" s="116">
        <f t="shared" si="89"/>
        <v>27050.399999999998</v>
      </c>
      <c r="CI35" s="119">
        <f t="shared" si="89"/>
        <v>27050.399999999998</v>
      </c>
    </row>
    <row r="36" spans="1:114" s="52" customFormat="1" ht="12.75" customHeight="1">
      <c r="A36" s="52" t="s">
        <v>316</v>
      </c>
      <c r="B36" s="33">
        <f>SUM(B29:B35)</f>
        <v>11.1</v>
      </c>
      <c r="C36" s="34">
        <f>SUM(C29:C35)</f>
        <v>16</v>
      </c>
      <c r="D36" s="34">
        <f>SUM(D29:D35)</f>
        <v>19.7</v>
      </c>
      <c r="E36" s="248"/>
      <c r="F36" s="213"/>
      <c r="G36" s="116"/>
      <c r="H36" s="116"/>
      <c r="I36" s="116"/>
      <c r="J36" s="248"/>
      <c r="K36" s="214">
        <f>SUM(K29:K35)</f>
        <v>677500</v>
      </c>
      <c r="L36" s="215">
        <f>SUM(L29:L35)</f>
        <v>934830</v>
      </c>
      <c r="M36" s="215">
        <f>SUM(M29:M35)</f>
        <v>1153283.4000000001</v>
      </c>
      <c r="N36" s="248"/>
      <c r="O36" s="52">
        <f aca="true" t="shared" si="90" ref="O36:AX36">SUM(O29:O35)</f>
        <v>11.1</v>
      </c>
      <c r="P36" s="52">
        <f t="shared" si="90"/>
        <v>11.1</v>
      </c>
      <c r="Q36" s="52">
        <f t="shared" si="90"/>
        <v>11.1</v>
      </c>
      <c r="R36" s="52">
        <f t="shared" si="90"/>
        <v>11.1</v>
      </c>
      <c r="S36" s="52">
        <f t="shared" si="90"/>
        <v>11.1</v>
      </c>
      <c r="T36" s="52">
        <f t="shared" si="90"/>
        <v>11.1</v>
      </c>
      <c r="U36" s="52">
        <f t="shared" si="90"/>
        <v>11.1</v>
      </c>
      <c r="V36" s="52">
        <f t="shared" si="90"/>
        <v>11.1</v>
      </c>
      <c r="W36" s="52">
        <f t="shared" si="90"/>
        <v>11.1</v>
      </c>
      <c r="X36" s="52">
        <f t="shared" si="90"/>
        <v>11.1</v>
      </c>
      <c r="Y36" s="52">
        <f t="shared" si="90"/>
        <v>11.1</v>
      </c>
      <c r="Z36" s="52">
        <f t="shared" si="90"/>
        <v>11.1</v>
      </c>
      <c r="AA36" s="52">
        <f t="shared" si="90"/>
        <v>16</v>
      </c>
      <c r="AB36" s="52">
        <f t="shared" si="90"/>
        <v>16</v>
      </c>
      <c r="AC36" s="52">
        <f t="shared" si="90"/>
        <v>16</v>
      </c>
      <c r="AD36" s="52">
        <f t="shared" si="90"/>
        <v>16</v>
      </c>
      <c r="AE36" s="52">
        <f t="shared" si="90"/>
        <v>16</v>
      </c>
      <c r="AF36" s="52">
        <f t="shared" si="90"/>
        <v>16</v>
      </c>
      <c r="AG36" s="52">
        <f t="shared" si="90"/>
        <v>16</v>
      </c>
      <c r="AH36" s="52">
        <f t="shared" si="90"/>
        <v>16</v>
      </c>
      <c r="AI36" s="52">
        <f t="shared" si="90"/>
        <v>16</v>
      </c>
      <c r="AJ36" s="52">
        <f t="shared" si="90"/>
        <v>16</v>
      </c>
      <c r="AK36" s="52">
        <f t="shared" si="90"/>
        <v>16</v>
      </c>
      <c r="AL36" s="52">
        <f t="shared" si="90"/>
        <v>16</v>
      </c>
      <c r="AM36" s="52">
        <f t="shared" si="90"/>
        <v>19.7</v>
      </c>
      <c r="AN36" s="52">
        <f t="shared" si="90"/>
        <v>19.7</v>
      </c>
      <c r="AO36" s="52">
        <f t="shared" si="90"/>
        <v>19.7</v>
      </c>
      <c r="AP36" s="52">
        <f t="shared" si="90"/>
        <v>19.7</v>
      </c>
      <c r="AQ36" s="52">
        <f t="shared" si="90"/>
        <v>19.7</v>
      </c>
      <c r="AR36" s="52">
        <f t="shared" si="90"/>
        <v>19.7</v>
      </c>
      <c r="AS36" s="52">
        <f t="shared" si="90"/>
        <v>19.7</v>
      </c>
      <c r="AT36" s="52">
        <f t="shared" si="90"/>
        <v>19.7</v>
      </c>
      <c r="AU36" s="52">
        <f t="shared" si="90"/>
        <v>19.7</v>
      </c>
      <c r="AV36" s="52">
        <f t="shared" si="90"/>
        <v>19.7</v>
      </c>
      <c r="AW36" s="52">
        <f t="shared" si="90"/>
        <v>19.7</v>
      </c>
      <c r="AX36" s="52">
        <f t="shared" si="90"/>
        <v>19.7</v>
      </c>
      <c r="AZ36" s="116">
        <f aca="true" t="shared" si="91" ref="AZ36:CI36">SUM(AZ29:AZ35)</f>
        <v>56458.33333333333</v>
      </c>
      <c r="BA36" s="116">
        <f t="shared" si="91"/>
        <v>56458.33333333333</v>
      </c>
      <c r="BB36" s="116">
        <f t="shared" si="91"/>
        <v>56458.33333333333</v>
      </c>
      <c r="BC36" s="116">
        <f t="shared" si="91"/>
        <v>56458.33333333333</v>
      </c>
      <c r="BD36" s="116">
        <f t="shared" si="91"/>
        <v>56458.33333333333</v>
      </c>
      <c r="BE36" s="116">
        <f t="shared" si="91"/>
        <v>56458.33333333333</v>
      </c>
      <c r="BF36" s="116">
        <f t="shared" si="91"/>
        <v>56458.33333333333</v>
      </c>
      <c r="BG36" s="116">
        <f t="shared" si="91"/>
        <v>56458.33333333333</v>
      </c>
      <c r="BH36" s="116">
        <f t="shared" si="91"/>
        <v>56458.33333333333</v>
      </c>
      <c r="BI36" s="116">
        <f t="shared" si="91"/>
        <v>56458.33333333333</v>
      </c>
      <c r="BJ36" s="116">
        <f t="shared" si="91"/>
        <v>56458.33333333333</v>
      </c>
      <c r="BK36" s="116">
        <f t="shared" si="91"/>
        <v>56458.33333333333</v>
      </c>
      <c r="BL36" s="116">
        <f t="shared" si="91"/>
        <v>77902.5</v>
      </c>
      <c r="BM36" s="116">
        <f t="shared" si="91"/>
        <v>77902.5</v>
      </c>
      <c r="BN36" s="116">
        <f t="shared" si="91"/>
        <v>77902.5</v>
      </c>
      <c r="BO36" s="116">
        <f t="shared" si="91"/>
        <v>77902.5</v>
      </c>
      <c r="BP36" s="116">
        <f t="shared" si="91"/>
        <v>77902.5</v>
      </c>
      <c r="BQ36" s="116">
        <f t="shared" si="91"/>
        <v>77902.5</v>
      </c>
      <c r="BR36" s="116">
        <f t="shared" si="91"/>
        <v>77902.5</v>
      </c>
      <c r="BS36" s="116">
        <f t="shared" si="91"/>
        <v>77902.5</v>
      </c>
      <c r="BT36" s="116">
        <f t="shared" si="91"/>
        <v>77902.5</v>
      </c>
      <c r="BU36" s="116">
        <f t="shared" si="91"/>
        <v>77902.5</v>
      </c>
      <c r="BV36" s="116">
        <f t="shared" si="91"/>
        <v>77902.5</v>
      </c>
      <c r="BW36" s="116">
        <f t="shared" si="91"/>
        <v>77902.5</v>
      </c>
      <c r="BX36" s="116">
        <f t="shared" si="91"/>
        <v>96106.95</v>
      </c>
      <c r="BY36" s="116">
        <f t="shared" si="91"/>
        <v>96106.95</v>
      </c>
      <c r="BZ36" s="116">
        <f t="shared" si="91"/>
        <v>96106.95</v>
      </c>
      <c r="CA36" s="116">
        <f t="shared" si="91"/>
        <v>96106.95</v>
      </c>
      <c r="CB36" s="116">
        <f t="shared" si="91"/>
        <v>96106.95</v>
      </c>
      <c r="CC36" s="116">
        <f t="shared" si="91"/>
        <v>96106.95</v>
      </c>
      <c r="CD36" s="116">
        <f t="shared" si="91"/>
        <v>96106.95</v>
      </c>
      <c r="CE36" s="116">
        <f t="shared" si="91"/>
        <v>96106.95</v>
      </c>
      <c r="CF36" s="116">
        <f t="shared" si="91"/>
        <v>96106.95</v>
      </c>
      <c r="CG36" s="116">
        <f t="shared" si="91"/>
        <v>96106.95</v>
      </c>
      <c r="CH36" s="116">
        <f t="shared" si="91"/>
        <v>96106.95</v>
      </c>
      <c r="CI36" s="119">
        <f t="shared" si="91"/>
        <v>96106.95</v>
      </c>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row>
    <row r="37" spans="1:87" ht="12.75" customHeight="1">
      <c r="A37" s="25" t="s">
        <v>196</v>
      </c>
      <c r="B37" s="211"/>
      <c r="C37" s="45"/>
      <c r="D37" s="45"/>
      <c r="E37" s="246"/>
      <c r="F37" s="212"/>
      <c r="G37" s="23"/>
      <c r="H37" s="23"/>
      <c r="I37" s="23"/>
      <c r="J37" s="246"/>
      <c r="K37" s="158">
        <f>K36*$B$5</f>
        <v>169375</v>
      </c>
      <c r="L37" s="153">
        <f>L36*$C$5</f>
        <v>233707.5</v>
      </c>
      <c r="M37" s="153">
        <f>M36*$D$5</f>
        <v>288320.85000000003</v>
      </c>
      <c r="N37" s="24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3">
        <f aca="true" t="shared" si="92" ref="AZ37:BK37">AZ36*$B$5</f>
        <v>14114.583333333332</v>
      </c>
      <c r="BA37" s="23">
        <f t="shared" si="92"/>
        <v>14114.583333333332</v>
      </c>
      <c r="BB37" s="23">
        <f t="shared" si="92"/>
        <v>14114.583333333332</v>
      </c>
      <c r="BC37" s="23">
        <f t="shared" si="92"/>
        <v>14114.583333333332</v>
      </c>
      <c r="BD37" s="23">
        <f t="shared" si="92"/>
        <v>14114.583333333332</v>
      </c>
      <c r="BE37" s="23">
        <f t="shared" si="92"/>
        <v>14114.583333333332</v>
      </c>
      <c r="BF37" s="23">
        <f t="shared" si="92"/>
        <v>14114.583333333332</v>
      </c>
      <c r="BG37" s="23">
        <f t="shared" si="92"/>
        <v>14114.583333333332</v>
      </c>
      <c r="BH37" s="23">
        <f t="shared" si="92"/>
        <v>14114.583333333332</v>
      </c>
      <c r="BI37" s="23">
        <f t="shared" si="92"/>
        <v>14114.583333333332</v>
      </c>
      <c r="BJ37" s="23">
        <f t="shared" si="92"/>
        <v>14114.583333333332</v>
      </c>
      <c r="BK37" s="23">
        <f t="shared" si="92"/>
        <v>14114.583333333332</v>
      </c>
      <c r="BL37" s="23">
        <f aca="true" t="shared" si="93" ref="BL37:BW37">BL36*$C$5</f>
        <v>19475.625</v>
      </c>
      <c r="BM37" s="23">
        <f t="shared" si="93"/>
        <v>19475.625</v>
      </c>
      <c r="BN37" s="23">
        <f t="shared" si="93"/>
        <v>19475.625</v>
      </c>
      <c r="BO37" s="23">
        <f t="shared" si="93"/>
        <v>19475.625</v>
      </c>
      <c r="BP37" s="23">
        <f t="shared" si="93"/>
        <v>19475.625</v>
      </c>
      <c r="BQ37" s="23">
        <f t="shared" si="93"/>
        <v>19475.625</v>
      </c>
      <c r="BR37" s="23">
        <f t="shared" si="93"/>
        <v>19475.625</v>
      </c>
      <c r="BS37" s="23">
        <f t="shared" si="93"/>
        <v>19475.625</v>
      </c>
      <c r="BT37" s="23">
        <f t="shared" si="93"/>
        <v>19475.625</v>
      </c>
      <c r="BU37" s="23">
        <f t="shared" si="93"/>
        <v>19475.625</v>
      </c>
      <c r="BV37" s="23">
        <f t="shared" si="93"/>
        <v>19475.625</v>
      </c>
      <c r="BW37" s="23">
        <f t="shared" si="93"/>
        <v>19475.625</v>
      </c>
      <c r="BX37" s="23">
        <f aca="true" t="shared" si="94" ref="BX37:CI37">BX36*$D$5</f>
        <v>24026.7375</v>
      </c>
      <c r="BY37" s="23">
        <f t="shared" si="94"/>
        <v>24026.7375</v>
      </c>
      <c r="BZ37" s="23">
        <f t="shared" si="94"/>
        <v>24026.7375</v>
      </c>
      <c r="CA37" s="23">
        <f t="shared" si="94"/>
        <v>24026.7375</v>
      </c>
      <c r="CB37" s="23">
        <f t="shared" si="94"/>
        <v>24026.7375</v>
      </c>
      <c r="CC37" s="23">
        <f t="shared" si="94"/>
        <v>24026.7375</v>
      </c>
      <c r="CD37" s="23">
        <f t="shared" si="94"/>
        <v>24026.7375</v>
      </c>
      <c r="CE37" s="23">
        <f t="shared" si="94"/>
        <v>24026.7375</v>
      </c>
      <c r="CF37" s="23">
        <f t="shared" si="94"/>
        <v>24026.7375</v>
      </c>
      <c r="CG37" s="23">
        <f t="shared" si="94"/>
        <v>24026.7375</v>
      </c>
      <c r="CH37" s="23">
        <f t="shared" si="94"/>
        <v>24026.7375</v>
      </c>
      <c r="CI37" s="112">
        <f t="shared" si="94"/>
        <v>24026.7375</v>
      </c>
    </row>
    <row r="38" spans="1:87" ht="12.75" customHeight="1">
      <c r="A38" s="25" t="s">
        <v>374</v>
      </c>
      <c r="B38" s="211"/>
      <c r="C38" s="45"/>
      <c r="D38" s="45"/>
      <c r="E38" s="246"/>
      <c r="F38" s="212"/>
      <c r="G38" s="23"/>
      <c r="H38" s="23"/>
      <c r="I38" s="23"/>
      <c r="J38" s="246"/>
      <c r="K38" s="158">
        <f>K36+K37</f>
        <v>846875</v>
      </c>
      <c r="L38" s="153">
        <f>L36+L37</f>
        <v>1168537.5</v>
      </c>
      <c r="M38" s="153">
        <f>M36+M37</f>
        <v>1441604.2500000002</v>
      </c>
      <c r="N38" s="24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3">
        <f aca="true" t="shared" si="95" ref="AZ38:CI38">AZ36+AZ37</f>
        <v>70572.91666666666</v>
      </c>
      <c r="BA38" s="23">
        <f t="shared" si="95"/>
        <v>70572.91666666666</v>
      </c>
      <c r="BB38" s="23">
        <f t="shared" si="95"/>
        <v>70572.91666666666</v>
      </c>
      <c r="BC38" s="23">
        <f t="shared" si="95"/>
        <v>70572.91666666666</v>
      </c>
      <c r="BD38" s="23">
        <f t="shared" si="95"/>
        <v>70572.91666666666</v>
      </c>
      <c r="BE38" s="23">
        <f t="shared" si="95"/>
        <v>70572.91666666666</v>
      </c>
      <c r="BF38" s="23">
        <f t="shared" si="95"/>
        <v>70572.91666666666</v>
      </c>
      <c r="BG38" s="23">
        <f t="shared" si="95"/>
        <v>70572.91666666666</v>
      </c>
      <c r="BH38" s="23">
        <f t="shared" si="95"/>
        <v>70572.91666666666</v>
      </c>
      <c r="BI38" s="23">
        <f t="shared" si="95"/>
        <v>70572.91666666666</v>
      </c>
      <c r="BJ38" s="23">
        <f t="shared" si="95"/>
        <v>70572.91666666666</v>
      </c>
      <c r="BK38" s="23">
        <f t="shared" si="95"/>
        <v>70572.91666666666</v>
      </c>
      <c r="BL38" s="23">
        <f t="shared" si="95"/>
        <v>97378.125</v>
      </c>
      <c r="BM38" s="23">
        <f t="shared" si="95"/>
        <v>97378.125</v>
      </c>
      <c r="BN38" s="23">
        <f t="shared" si="95"/>
        <v>97378.125</v>
      </c>
      <c r="BO38" s="23">
        <f t="shared" si="95"/>
        <v>97378.125</v>
      </c>
      <c r="BP38" s="23">
        <f t="shared" si="95"/>
        <v>97378.125</v>
      </c>
      <c r="BQ38" s="23">
        <f t="shared" si="95"/>
        <v>97378.125</v>
      </c>
      <c r="BR38" s="23">
        <f t="shared" si="95"/>
        <v>97378.125</v>
      </c>
      <c r="BS38" s="23">
        <f t="shared" si="95"/>
        <v>97378.125</v>
      </c>
      <c r="BT38" s="23">
        <f t="shared" si="95"/>
        <v>97378.125</v>
      </c>
      <c r="BU38" s="23">
        <f t="shared" si="95"/>
        <v>97378.125</v>
      </c>
      <c r="BV38" s="23">
        <f t="shared" si="95"/>
        <v>97378.125</v>
      </c>
      <c r="BW38" s="23">
        <f t="shared" si="95"/>
        <v>97378.125</v>
      </c>
      <c r="BX38" s="23">
        <f t="shared" si="95"/>
        <v>120133.6875</v>
      </c>
      <c r="BY38" s="23">
        <f t="shared" si="95"/>
        <v>120133.6875</v>
      </c>
      <c r="BZ38" s="23">
        <f t="shared" si="95"/>
        <v>120133.6875</v>
      </c>
      <c r="CA38" s="23">
        <f t="shared" si="95"/>
        <v>120133.6875</v>
      </c>
      <c r="CB38" s="23">
        <f t="shared" si="95"/>
        <v>120133.6875</v>
      </c>
      <c r="CC38" s="23">
        <f t="shared" si="95"/>
        <v>120133.6875</v>
      </c>
      <c r="CD38" s="23">
        <f t="shared" si="95"/>
        <v>120133.6875</v>
      </c>
      <c r="CE38" s="23">
        <f t="shared" si="95"/>
        <v>120133.6875</v>
      </c>
      <c r="CF38" s="23">
        <f t="shared" si="95"/>
        <v>120133.6875</v>
      </c>
      <c r="CG38" s="23">
        <f t="shared" si="95"/>
        <v>120133.6875</v>
      </c>
      <c r="CH38" s="23">
        <f t="shared" si="95"/>
        <v>120133.6875</v>
      </c>
      <c r="CI38" s="112">
        <f t="shared" si="95"/>
        <v>120133.6875</v>
      </c>
    </row>
    <row r="39" spans="2:87" ht="12.75" customHeight="1">
      <c r="B39" s="211"/>
      <c r="C39" s="45"/>
      <c r="D39" s="45"/>
      <c r="E39" s="246"/>
      <c r="F39" s="212"/>
      <c r="G39" s="23"/>
      <c r="H39" s="23"/>
      <c r="I39" s="23"/>
      <c r="J39" s="246"/>
      <c r="K39" s="158"/>
      <c r="L39" s="153"/>
      <c r="M39" s="153"/>
      <c r="N39" s="24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112"/>
    </row>
    <row r="40" spans="1:87" ht="12.75" customHeight="1">
      <c r="A40" s="99" t="s">
        <v>263</v>
      </c>
      <c r="B40" s="211"/>
      <c r="C40" s="45"/>
      <c r="D40" s="45"/>
      <c r="E40" s="246"/>
      <c r="F40" s="212"/>
      <c r="G40" s="23"/>
      <c r="H40" s="23"/>
      <c r="I40" s="23"/>
      <c r="J40" s="246"/>
      <c r="K40" s="32"/>
      <c r="L40" s="26"/>
      <c r="M40" s="26"/>
      <c r="N40" s="24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112"/>
    </row>
    <row r="41" spans="1:114" s="26" customFormat="1" ht="12.75" customHeight="1">
      <c r="A41" s="26" t="s">
        <v>375</v>
      </c>
      <c r="B41" s="211">
        <f>B80+B122</f>
        <v>1</v>
      </c>
      <c r="C41" s="45">
        <f>C80+C122</f>
        <v>1.3</v>
      </c>
      <c r="D41" s="45">
        <f>D80+D122</f>
        <v>1.6</v>
      </c>
      <c r="E41" s="246"/>
      <c r="F41" s="212">
        <f>F80</f>
        <v>78000</v>
      </c>
      <c r="G41" s="23">
        <f>F41</f>
        <v>78000</v>
      </c>
      <c r="H41" s="23">
        <f>G41*(1+C4)</f>
        <v>79560</v>
      </c>
      <c r="I41" s="23">
        <f>H41*(1+D4)</f>
        <v>81151.2</v>
      </c>
      <c r="J41" s="246"/>
      <c r="K41" s="158">
        <f>SUM(AZ41:BK41)</f>
        <v>78000</v>
      </c>
      <c r="L41" s="153">
        <f>SUM(BL41:BW41)</f>
        <v>103428</v>
      </c>
      <c r="M41" s="153">
        <f>SUM(BX41:CI41)</f>
        <v>129841.92000000003</v>
      </c>
      <c r="N41" s="246"/>
      <c r="O41" s="26">
        <f>$B$41</f>
        <v>1</v>
      </c>
      <c r="P41" s="26">
        <f aca="true" t="shared" si="96" ref="P41:Z41">$B$41</f>
        <v>1</v>
      </c>
      <c r="Q41" s="26">
        <f t="shared" si="96"/>
        <v>1</v>
      </c>
      <c r="R41" s="26">
        <f t="shared" si="96"/>
        <v>1</v>
      </c>
      <c r="S41" s="26">
        <f t="shared" si="96"/>
        <v>1</v>
      </c>
      <c r="T41" s="26">
        <f t="shared" si="96"/>
        <v>1</v>
      </c>
      <c r="U41" s="26">
        <f t="shared" si="96"/>
        <v>1</v>
      </c>
      <c r="V41" s="26">
        <f t="shared" si="96"/>
        <v>1</v>
      </c>
      <c r="W41" s="26">
        <f t="shared" si="96"/>
        <v>1</v>
      </c>
      <c r="X41" s="26">
        <f t="shared" si="96"/>
        <v>1</v>
      </c>
      <c r="Y41" s="26">
        <f t="shared" si="96"/>
        <v>1</v>
      </c>
      <c r="Z41" s="26">
        <f t="shared" si="96"/>
        <v>1</v>
      </c>
      <c r="AA41" s="26">
        <f>$C$41</f>
        <v>1.3</v>
      </c>
      <c r="AB41" s="26">
        <f aca="true" t="shared" si="97" ref="AB41:AL41">$C$41</f>
        <v>1.3</v>
      </c>
      <c r="AC41" s="26">
        <f t="shared" si="97"/>
        <v>1.3</v>
      </c>
      <c r="AD41" s="26">
        <f t="shared" si="97"/>
        <v>1.3</v>
      </c>
      <c r="AE41" s="26">
        <f t="shared" si="97"/>
        <v>1.3</v>
      </c>
      <c r="AF41" s="26">
        <f t="shared" si="97"/>
        <v>1.3</v>
      </c>
      <c r="AG41" s="26">
        <f t="shared" si="97"/>
        <v>1.3</v>
      </c>
      <c r="AH41" s="26">
        <f t="shared" si="97"/>
        <v>1.3</v>
      </c>
      <c r="AI41" s="26">
        <f t="shared" si="97"/>
        <v>1.3</v>
      </c>
      <c r="AJ41" s="26">
        <f t="shared" si="97"/>
        <v>1.3</v>
      </c>
      <c r="AK41" s="26">
        <f t="shared" si="97"/>
        <v>1.3</v>
      </c>
      <c r="AL41" s="26">
        <f t="shared" si="97"/>
        <v>1.3</v>
      </c>
      <c r="AM41" s="26">
        <f>$D$41</f>
        <v>1.6</v>
      </c>
      <c r="AN41" s="26">
        <f aca="true" t="shared" si="98" ref="AN41:AX41">$D$41</f>
        <v>1.6</v>
      </c>
      <c r="AO41" s="26">
        <f t="shared" si="98"/>
        <v>1.6</v>
      </c>
      <c r="AP41" s="26">
        <f t="shared" si="98"/>
        <v>1.6</v>
      </c>
      <c r="AQ41" s="26">
        <f t="shared" si="98"/>
        <v>1.6</v>
      </c>
      <c r="AR41" s="26">
        <f t="shared" si="98"/>
        <v>1.6</v>
      </c>
      <c r="AS41" s="26">
        <f t="shared" si="98"/>
        <v>1.6</v>
      </c>
      <c r="AT41" s="26">
        <f t="shared" si="98"/>
        <v>1.6</v>
      </c>
      <c r="AU41" s="26">
        <f t="shared" si="98"/>
        <v>1.6</v>
      </c>
      <c r="AV41" s="26">
        <f t="shared" si="98"/>
        <v>1.6</v>
      </c>
      <c r="AW41" s="26">
        <f t="shared" si="98"/>
        <v>1.6</v>
      </c>
      <c r="AX41" s="26">
        <f t="shared" si="98"/>
        <v>1.6</v>
      </c>
      <c r="AZ41" s="23">
        <f>($G$41/12)*O41</f>
        <v>6500</v>
      </c>
      <c r="BA41" s="23">
        <f aca="true" t="shared" si="99" ref="BA41:BK41">($G$41/12)*P41</f>
        <v>6500</v>
      </c>
      <c r="BB41" s="23">
        <f t="shared" si="99"/>
        <v>6500</v>
      </c>
      <c r="BC41" s="23">
        <f t="shared" si="99"/>
        <v>6500</v>
      </c>
      <c r="BD41" s="23">
        <f t="shared" si="99"/>
        <v>6500</v>
      </c>
      <c r="BE41" s="23">
        <f t="shared" si="99"/>
        <v>6500</v>
      </c>
      <c r="BF41" s="23">
        <f t="shared" si="99"/>
        <v>6500</v>
      </c>
      <c r="BG41" s="23">
        <f t="shared" si="99"/>
        <v>6500</v>
      </c>
      <c r="BH41" s="23">
        <f t="shared" si="99"/>
        <v>6500</v>
      </c>
      <c r="BI41" s="23">
        <f t="shared" si="99"/>
        <v>6500</v>
      </c>
      <c r="BJ41" s="23">
        <f t="shared" si="99"/>
        <v>6500</v>
      </c>
      <c r="BK41" s="23">
        <f t="shared" si="99"/>
        <v>6500</v>
      </c>
      <c r="BL41" s="23">
        <f>($H$41/12)*AA41</f>
        <v>8619</v>
      </c>
      <c r="BM41" s="23">
        <f aca="true" t="shared" si="100" ref="BM41:BW41">($H$41/12)*AB41</f>
        <v>8619</v>
      </c>
      <c r="BN41" s="23">
        <f t="shared" si="100"/>
        <v>8619</v>
      </c>
      <c r="BO41" s="23">
        <f t="shared" si="100"/>
        <v>8619</v>
      </c>
      <c r="BP41" s="23">
        <f t="shared" si="100"/>
        <v>8619</v>
      </c>
      <c r="BQ41" s="23">
        <f t="shared" si="100"/>
        <v>8619</v>
      </c>
      <c r="BR41" s="23">
        <f t="shared" si="100"/>
        <v>8619</v>
      </c>
      <c r="BS41" s="23">
        <f t="shared" si="100"/>
        <v>8619</v>
      </c>
      <c r="BT41" s="23">
        <f t="shared" si="100"/>
        <v>8619</v>
      </c>
      <c r="BU41" s="23">
        <f t="shared" si="100"/>
        <v>8619</v>
      </c>
      <c r="BV41" s="23">
        <f t="shared" si="100"/>
        <v>8619</v>
      </c>
      <c r="BW41" s="23">
        <f t="shared" si="100"/>
        <v>8619</v>
      </c>
      <c r="BX41" s="23">
        <f>($I$41/12)*AM41</f>
        <v>10820.16</v>
      </c>
      <c r="BY41" s="23">
        <f aca="true" t="shared" si="101" ref="BY41:CI41">($I$41/12)*AN41</f>
        <v>10820.16</v>
      </c>
      <c r="BZ41" s="23">
        <f t="shared" si="101"/>
        <v>10820.16</v>
      </c>
      <c r="CA41" s="23">
        <f t="shared" si="101"/>
        <v>10820.16</v>
      </c>
      <c r="CB41" s="23">
        <f t="shared" si="101"/>
        <v>10820.16</v>
      </c>
      <c r="CC41" s="23">
        <f t="shared" si="101"/>
        <v>10820.16</v>
      </c>
      <c r="CD41" s="23">
        <f t="shared" si="101"/>
        <v>10820.16</v>
      </c>
      <c r="CE41" s="23">
        <f t="shared" si="101"/>
        <v>10820.16</v>
      </c>
      <c r="CF41" s="23">
        <f t="shared" si="101"/>
        <v>10820.16</v>
      </c>
      <c r="CG41" s="23">
        <f t="shared" si="101"/>
        <v>10820.16</v>
      </c>
      <c r="CH41" s="23">
        <f t="shared" si="101"/>
        <v>10820.16</v>
      </c>
      <c r="CI41" s="112">
        <f t="shared" si="101"/>
        <v>10820.16</v>
      </c>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row>
    <row r="42" spans="1:114" s="26" customFormat="1" ht="12.75" customHeight="1">
      <c r="A42" s="45" t="s">
        <v>376</v>
      </c>
      <c r="B42" s="211">
        <f>B123</f>
        <v>0</v>
      </c>
      <c r="C42" s="45">
        <f>C123</f>
        <v>0.3</v>
      </c>
      <c r="D42" s="45">
        <f>D123</f>
        <v>0.6</v>
      </c>
      <c r="E42" s="246"/>
      <c r="F42" s="212">
        <f>F123</f>
        <v>78000</v>
      </c>
      <c r="G42" s="23">
        <f>F42</f>
        <v>78000</v>
      </c>
      <c r="H42" s="23">
        <f>G42*(1+C4)</f>
        <v>79560</v>
      </c>
      <c r="I42" s="23">
        <f>H42*(1+D4)</f>
        <v>81151.2</v>
      </c>
      <c r="J42" s="246"/>
      <c r="K42" s="158">
        <f>SUM(AZ42:BK42)</f>
        <v>0</v>
      </c>
      <c r="L42" s="153">
        <f>SUM(BL42:BW42)</f>
        <v>23868</v>
      </c>
      <c r="M42" s="153">
        <f>SUM(BX42:CI42)</f>
        <v>48690.71999999998</v>
      </c>
      <c r="N42" s="246"/>
      <c r="O42" s="26">
        <f>$B$42</f>
        <v>0</v>
      </c>
      <c r="P42" s="26">
        <f aca="true" t="shared" si="102" ref="P42:Z42">$B$42</f>
        <v>0</v>
      </c>
      <c r="Q42" s="26">
        <f t="shared" si="102"/>
        <v>0</v>
      </c>
      <c r="R42" s="26">
        <f t="shared" si="102"/>
        <v>0</v>
      </c>
      <c r="S42" s="26">
        <f t="shared" si="102"/>
        <v>0</v>
      </c>
      <c r="T42" s="26">
        <f t="shared" si="102"/>
        <v>0</v>
      </c>
      <c r="U42" s="26">
        <f t="shared" si="102"/>
        <v>0</v>
      </c>
      <c r="V42" s="26">
        <f t="shared" si="102"/>
        <v>0</v>
      </c>
      <c r="W42" s="26">
        <f t="shared" si="102"/>
        <v>0</v>
      </c>
      <c r="X42" s="26">
        <f t="shared" si="102"/>
        <v>0</v>
      </c>
      <c r="Y42" s="26">
        <f t="shared" si="102"/>
        <v>0</v>
      </c>
      <c r="Z42" s="26">
        <f t="shared" si="102"/>
        <v>0</v>
      </c>
      <c r="AA42" s="26">
        <f>$C$42</f>
        <v>0.3</v>
      </c>
      <c r="AB42" s="26">
        <f aca="true" t="shared" si="103" ref="AB42:AL42">$C$42</f>
        <v>0.3</v>
      </c>
      <c r="AC42" s="26">
        <f t="shared" si="103"/>
        <v>0.3</v>
      </c>
      <c r="AD42" s="26">
        <f t="shared" si="103"/>
        <v>0.3</v>
      </c>
      <c r="AE42" s="26">
        <f t="shared" si="103"/>
        <v>0.3</v>
      </c>
      <c r="AF42" s="26">
        <f t="shared" si="103"/>
        <v>0.3</v>
      </c>
      <c r="AG42" s="26">
        <f t="shared" si="103"/>
        <v>0.3</v>
      </c>
      <c r="AH42" s="26">
        <f t="shared" si="103"/>
        <v>0.3</v>
      </c>
      <c r="AI42" s="26">
        <f t="shared" si="103"/>
        <v>0.3</v>
      </c>
      <c r="AJ42" s="26">
        <f t="shared" si="103"/>
        <v>0.3</v>
      </c>
      <c r="AK42" s="26">
        <f t="shared" si="103"/>
        <v>0.3</v>
      </c>
      <c r="AL42" s="26">
        <f t="shared" si="103"/>
        <v>0.3</v>
      </c>
      <c r="AM42" s="26">
        <f>$D$42</f>
        <v>0.6</v>
      </c>
      <c r="AN42" s="26">
        <f aca="true" t="shared" si="104" ref="AN42:AX42">$D$42</f>
        <v>0.6</v>
      </c>
      <c r="AO42" s="26">
        <f t="shared" si="104"/>
        <v>0.6</v>
      </c>
      <c r="AP42" s="26">
        <f t="shared" si="104"/>
        <v>0.6</v>
      </c>
      <c r="AQ42" s="26">
        <f t="shared" si="104"/>
        <v>0.6</v>
      </c>
      <c r="AR42" s="26">
        <f t="shared" si="104"/>
        <v>0.6</v>
      </c>
      <c r="AS42" s="26">
        <f t="shared" si="104"/>
        <v>0.6</v>
      </c>
      <c r="AT42" s="26">
        <f t="shared" si="104"/>
        <v>0.6</v>
      </c>
      <c r="AU42" s="26">
        <f t="shared" si="104"/>
        <v>0.6</v>
      </c>
      <c r="AV42" s="26">
        <f t="shared" si="104"/>
        <v>0.6</v>
      </c>
      <c r="AW42" s="26">
        <f t="shared" si="104"/>
        <v>0.6</v>
      </c>
      <c r="AX42" s="26">
        <f t="shared" si="104"/>
        <v>0.6</v>
      </c>
      <c r="AZ42" s="23">
        <f>($G$42/12)*O42</f>
        <v>0</v>
      </c>
      <c r="BA42" s="23">
        <f aca="true" t="shared" si="105" ref="BA42:BK42">($G$42/12)*P42</f>
        <v>0</v>
      </c>
      <c r="BB42" s="23">
        <f t="shared" si="105"/>
        <v>0</v>
      </c>
      <c r="BC42" s="23">
        <f t="shared" si="105"/>
        <v>0</v>
      </c>
      <c r="BD42" s="23">
        <f t="shared" si="105"/>
        <v>0</v>
      </c>
      <c r="BE42" s="23">
        <f t="shared" si="105"/>
        <v>0</v>
      </c>
      <c r="BF42" s="23">
        <f t="shared" si="105"/>
        <v>0</v>
      </c>
      <c r="BG42" s="23">
        <f t="shared" si="105"/>
        <v>0</v>
      </c>
      <c r="BH42" s="23">
        <f t="shared" si="105"/>
        <v>0</v>
      </c>
      <c r="BI42" s="23">
        <f t="shared" si="105"/>
        <v>0</v>
      </c>
      <c r="BJ42" s="23">
        <f t="shared" si="105"/>
        <v>0</v>
      </c>
      <c r="BK42" s="23">
        <f t="shared" si="105"/>
        <v>0</v>
      </c>
      <c r="BL42" s="23">
        <f>($H$42/12)*AA42</f>
        <v>1989</v>
      </c>
      <c r="BM42" s="23">
        <f aca="true" t="shared" si="106" ref="BM42:BW42">($H$42/12)*AB42</f>
        <v>1989</v>
      </c>
      <c r="BN42" s="23">
        <f t="shared" si="106"/>
        <v>1989</v>
      </c>
      <c r="BO42" s="23">
        <f t="shared" si="106"/>
        <v>1989</v>
      </c>
      <c r="BP42" s="23">
        <f t="shared" si="106"/>
        <v>1989</v>
      </c>
      <c r="BQ42" s="23">
        <f t="shared" si="106"/>
        <v>1989</v>
      </c>
      <c r="BR42" s="23">
        <f t="shared" si="106"/>
        <v>1989</v>
      </c>
      <c r="BS42" s="23">
        <f t="shared" si="106"/>
        <v>1989</v>
      </c>
      <c r="BT42" s="23">
        <f t="shared" si="106"/>
        <v>1989</v>
      </c>
      <c r="BU42" s="23">
        <f t="shared" si="106"/>
        <v>1989</v>
      </c>
      <c r="BV42" s="23">
        <f t="shared" si="106"/>
        <v>1989</v>
      </c>
      <c r="BW42" s="23">
        <f t="shared" si="106"/>
        <v>1989</v>
      </c>
      <c r="BX42" s="23">
        <f>($I$42/12)*AM42</f>
        <v>4057.5599999999995</v>
      </c>
      <c r="BY42" s="23">
        <f aca="true" t="shared" si="107" ref="BY42:CI42">($I$42/12)*AN42</f>
        <v>4057.5599999999995</v>
      </c>
      <c r="BZ42" s="23">
        <f t="shared" si="107"/>
        <v>4057.5599999999995</v>
      </c>
      <c r="CA42" s="23">
        <f t="shared" si="107"/>
        <v>4057.5599999999995</v>
      </c>
      <c r="CB42" s="23">
        <f t="shared" si="107"/>
        <v>4057.5599999999995</v>
      </c>
      <c r="CC42" s="23">
        <f t="shared" si="107"/>
        <v>4057.5599999999995</v>
      </c>
      <c r="CD42" s="23">
        <f t="shared" si="107"/>
        <v>4057.5599999999995</v>
      </c>
      <c r="CE42" s="23">
        <f t="shared" si="107"/>
        <v>4057.5599999999995</v>
      </c>
      <c r="CF42" s="23">
        <f t="shared" si="107"/>
        <v>4057.5599999999995</v>
      </c>
      <c r="CG42" s="23">
        <f t="shared" si="107"/>
        <v>4057.5599999999995</v>
      </c>
      <c r="CH42" s="23">
        <f t="shared" si="107"/>
        <v>4057.5599999999995</v>
      </c>
      <c r="CI42" s="112">
        <f t="shared" si="107"/>
        <v>4057.5599999999995</v>
      </c>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row>
    <row r="43" spans="1:114" s="52" customFormat="1" ht="12.75" customHeight="1">
      <c r="A43" s="216" t="s">
        <v>377</v>
      </c>
      <c r="B43" s="33">
        <f>B81+B121+B150</f>
        <v>2.5</v>
      </c>
      <c r="C43" s="34">
        <f>C81+C121+C150</f>
        <v>3.5</v>
      </c>
      <c r="D43" s="34">
        <f>D81+D121+D150</f>
        <v>5.5</v>
      </c>
      <c r="E43" s="248"/>
      <c r="F43" s="213">
        <f>F81</f>
        <v>78000</v>
      </c>
      <c r="G43" s="116">
        <f>F43</f>
        <v>78000</v>
      </c>
      <c r="H43" s="116">
        <f>G43*(1+C4)</f>
        <v>79560</v>
      </c>
      <c r="I43" s="116">
        <f>H43*(1+D4)</f>
        <v>81151.2</v>
      </c>
      <c r="J43" s="248"/>
      <c r="K43" s="214">
        <f>SUM(AZ43:BK43)</f>
        <v>195000</v>
      </c>
      <c r="L43" s="215">
        <f>SUM(BL43:BW43)</f>
        <v>278460</v>
      </c>
      <c r="M43" s="215">
        <f>SUM(BX43:CI43)</f>
        <v>446331.5999999999</v>
      </c>
      <c r="N43" s="248"/>
      <c r="O43" s="52">
        <f>$B$43</f>
        <v>2.5</v>
      </c>
      <c r="P43" s="52">
        <f aca="true" t="shared" si="108" ref="P43:Z43">$B$43</f>
        <v>2.5</v>
      </c>
      <c r="Q43" s="52">
        <f t="shared" si="108"/>
        <v>2.5</v>
      </c>
      <c r="R43" s="52">
        <f t="shared" si="108"/>
        <v>2.5</v>
      </c>
      <c r="S43" s="52">
        <f t="shared" si="108"/>
        <v>2.5</v>
      </c>
      <c r="T43" s="52">
        <f t="shared" si="108"/>
        <v>2.5</v>
      </c>
      <c r="U43" s="52">
        <f t="shared" si="108"/>
        <v>2.5</v>
      </c>
      <c r="V43" s="52">
        <f t="shared" si="108"/>
        <v>2.5</v>
      </c>
      <c r="W43" s="52">
        <f t="shared" si="108"/>
        <v>2.5</v>
      </c>
      <c r="X43" s="52">
        <f t="shared" si="108"/>
        <v>2.5</v>
      </c>
      <c r="Y43" s="52">
        <f t="shared" si="108"/>
        <v>2.5</v>
      </c>
      <c r="Z43" s="52">
        <f t="shared" si="108"/>
        <v>2.5</v>
      </c>
      <c r="AA43" s="52">
        <f>$C$43</f>
        <v>3.5</v>
      </c>
      <c r="AB43" s="52">
        <f aca="true" t="shared" si="109" ref="AB43:AL43">$C$43</f>
        <v>3.5</v>
      </c>
      <c r="AC43" s="52">
        <f t="shared" si="109"/>
        <v>3.5</v>
      </c>
      <c r="AD43" s="52">
        <f t="shared" si="109"/>
        <v>3.5</v>
      </c>
      <c r="AE43" s="52">
        <f t="shared" si="109"/>
        <v>3.5</v>
      </c>
      <c r="AF43" s="52">
        <f t="shared" si="109"/>
        <v>3.5</v>
      </c>
      <c r="AG43" s="52">
        <f t="shared" si="109"/>
        <v>3.5</v>
      </c>
      <c r="AH43" s="52">
        <f t="shared" si="109"/>
        <v>3.5</v>
      </c>
      <c r="AI43" s="52">
        <f t="shared" si="109"/>
        <v>3.5</v>
      </c>
      <c r="AJ43" s="52">
        <f t="shared" si="109"/>
        <v>3.5</v>
      </c>
      <c r="AK43" s="52">
        <f t="shared" si="109"/>
        <v>3.5</v>
      </c>
      <c r="AL43" s="52">
        <f t="shared" si="109"/>
        <v>3.5</v>
      </c>
      <c r="AM43" s="52">
        <f>$D$43</f>
        <v>5.5</v>
      </c>
      <c r="AN43" s="52">
        <f aca="true" t="shared" si="110" ref="AN43:AX43">$D$43</f>
        <v>5.5</v>
      </c>
      <c r="AO43" s="52">
        <f t="shared" si="110"/>
        <v>5.5</v>
      </c>
      <c r="AP43" s="52">
        <f t="shared" si="110"/>
        <v>5.5</v>
      </c>
      <c r="AQ43" s="52">
        <f t="shared" si="110"/>
        <v>5.5</v>
      </c>
      <c r="AR43" s="52">
        <f t="shared" si="110"/>
        <v>5.5</v>
      </c>
      <c r="AS43" s="52">
        <f t="shared" si="110"/>
        <v>5.5</v>
      </c>
      <c r="AT43" s="52">
        <f t="shared" si="110"/>
        <v>5.5</v>
      </c>
      <c r="AU43" s="52">
        <f t="shared" si="110"/>
        <v>5.5</v>
      </c>
      <c r="AV43" s="52">
        <f t="shared" si="110"/>
        <v>5.5</v>
      </c>
      <c r="AW43" s="52">
        <f t="shared" si="110"/>
        <v>5.5</v>
      </c>
      <c r="AX43" s="52">
        <f t="shared" si="110"/>
        <v>5.5</v>
      </c>
      <c r="AZ43" s="116">
        <f>($G$43/12)*O43</f>
        <v>16250</v>
      </c>
      <c r="BA43" s="116">
        <f aca="true" t="shared" si="111" ref="BA43:BK43">($G$43/12)*P43</f>
        <v>16250</v>
      </c>
      <c r="BB43" s="116">
        <f t="shared" si="111"/>
        <v>16250</v>
      </c>
      <c r="BC43" s="116">
        <f t="shared" si="111"/>
        <v>16250</v>
      </c>
      <c r="BD43" s="116">
        <f t="shared" si="111"/>
        <v>16250</v>
      </c>
      <c r="BE43" s="116">
        <f t="shared" si="111"/>
        <v>16250</v>
      </c>
      <c r="BF43" s="116">
        <f t="shared" si="111"/>
        <v>16250</v>
      </c>
      <c r="BG43" s="116">
        <f t="shared" si="111"/>
        <v>16250</v>
      </c>
      <c r="BH43" s="116">
        <f t="shared" si="111"/>
        <v>16250</v>
      </c>
      <c r="BI43" s="116">
        <f t="shared" si="111"/>
        <v>16250</v>
      </c>
      <c r="BJ43" s="116">
        <f t="shared" si="111"/>
        <v>16250</v>
      </c>
      <c r="BK43" s="116">
        <f t="shared" si="111"/>
        <v>16250</v>
      </c>
      <c r="BL43" s="116">
        <f>($H$43/12)*AA43</f>
        <v>23205</v>
      </c>
      <c r="BM43" s="116">
        <f aca="true" t="shared" si="112" ref="BM43:BW43">($H$43/12)*AB43</f>
        <v>23205</v>
      </c>
      <c r="BN43" s="116">
        <f t="shared" si="112"/>
        <v>23205</v>
      </c>
      <c r="BO43" s="116">
        <f t="shared" si="112"/>
        <v>23205</v>
      </c>
      <c r="BP43" s="116">
        <f t="shared" si="112"/>
        <v>23205</v>
      </c>
      <c r="BQ43" s="116">
        <f t="shared" si="112"/>
        <v>23205</v>
      </c>
      <c r="BR43" s="116">
        <f t="shared" si="112"/>
        <v>23205</v>
      </c>
      <c r="BS43" s="116">
        <f t="shared" si="112"/>
        <v>23205</v>
      </c>
      <c r="BT43" s="116">
        <f t="shared" si="112"/>
        <v>23205</v>
      </c>
      <c r="BU43" s="116">
        <f t="shared" si="112"/>
        <v>23205</v>
      </c>
      <c r="BV43" s="116">
        <f t="shared" si="112"/>
        <v>23205</v>
      </c>
      <c r="BW43" s="116">
        <f t="shared" si="112"/>
        <v>23205</v>
      </c>
      <c r="BX43" s="116">
        <f>($I$43/12)*AM43</f>
        <v>37194.299999999996</v>
      </c>
      <c r="BY43" s="116">
        <f aca="true" t="shared" si="113" ref="BY43:CI43">($I$43/12)*AN43</f>
        <v>37194.299999999996</v>
      </c>
      <c r="BZ43" s="116">
        <f t="shared" si="113"/>
        <v>37194.299999999996</v>
      </c>
      <c r="CA43" s="116">
        <f t="shared" si="113"/>
        <v>37194.299999999996</v>
      </c>
      <c r="CB43" s="116">
        <f t="shared" si="113"/>
        <v>37194.299999999996</v>
      </c>
      <c r="CC43" s="116">
        <f t="shared" si="113"/>
        <v>37194.299999999996</v>
      </c>
      <c r="CD43" s="116">
        <f t="shared" si="113"/>
        <v>37194.299999999996</v>
      </c>
      <c r="CE43" s="116">
        <f t="shared" si="113"/>
        <v>37194.299999999996</v>
      </c>
      <c r="CF43" s="116">
        <f t="shared" si="113"/>
        <v>37194.299999999996</v>
      </c>
      <c r="CG43" s="116">
        <f t="shared" si="113"/>
        <v>37194.299999999996</v>
      </c>
      <c r="CH43" s="116">
        <f t="shared" si="113"/>
        <v>37194.299999999996</v>
      </c>
      <c r="CI43" s="119">
        <f t="shared" si="113"/>
        <v>37194.299999999996</v>
      </c>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row>
    <row r="44" spans="1:114" s="52" customFormat="1" ht="12.75" customHeight="1">
      <c r="A44" s="52" t="s">
        <v>318</v>
      </c>
      <c r="B44" s="33">
        <f>SUM(B41:B43)</f>
        <v>3.5</v>
      </c>
      <c r="C44" s="34">
        <f>SUM(C41:C43)</f>
        <v>5.1</v>
      </c>
      <c r="D44" s="34">
        <f>SUM(D41:D43)</f>
        <v>7.7</v>
      </c>
      <c r="E44" s="248"/>
      <c r="F44" s="213"/>
      <c r="G44" s="116"/>
      <c r="H44" s="116"/>
      <c r="I44" s="116"/>
      <c r="J44" s="248"/>
      <c r="K44" s="214">
        <f>SUM(K41:K43)</f>
        <v>273000</v>
      </c>
      <c r="L44" s="215">
        <f>SUM(L41:L43)</f>
        <v>405756</v>
      </c>
      <c r="M44" s="215">
        <f>SUM(M41:M43)</f>
        <v>624864.24</v>
      </c>
      <c r="N44" s="248"/>
      <c r="O44" s="52">
        <f aca="true" t="shared" si="114" ref="O44:AW44">SUM(O41:O43)</f>
        <v>3.5</v>
      </c>
      <c r="P44" s="52">
        <f t="shared" si="114"/>
        <v>3.5</v>
      </c>
      <c r="Q44" s="52">
        <f t="shared" si="114"/>
        <v>3.5</v>
      </c>
      <c r="R44" s="52">
        <f t="shared" si="114"/>
        <v>3.5</v>
      </c>
      <c r="S44" s="52">
        <f t="shared" si="114"/>
        <v>3.5</v>
      </c>
      <c r="T44" s="52">
        <f t="shared" si="114"/>
        <v>3.5</v>
      </c>
      <c r="U44" s="52">
        <f t="shared" si="114"/>
        <v>3.5</v>
      </c>
      <c r="V44" s="52">
        <f t="shared" si="114"/>
        <v>3.5</v>
      </c>
      <c r="W44" s="52">
        <f t="shared" si="114"/>
        <v>3.5</v>
      </c>
      <c r="X44" s="52">
        <f t="shared" si="114"/>
        <v>3.5</v>
      </c>
      <c r="Y44" s="52">
        <f t="shared" si="114"/>
        <v>3.5</v>
      </c>
      <c r="Z44" s="52">
        <f t="shared" si="114"/>
        <v>3.5</v>
      </c>
      <c r="AA44" s="52">
        <f t="shared" si="114"/>
        <v>5.1</v>
      </c>
      <c r="AB44" s="52">
        <f t="shared" si="114"/>
        <v>5.1</v>
      </c>
      <c r="AC44" s="52">
        <f t="shared" si="114"/>
        <v>5.1</v>
      </c>
      <c r="AD44" s="52">
        <f t="shared" si="114"/>
        <v>5.1</v>
      </c>
      <c r="AE44" s="52">
        <f t="shared" si="114"/>
        <v>5.1</v>
      </c>
      <c r="AF44" s="52">
        <f t="shared" si="114"/>
        <v>5.1</v>
      </c>
      <c r="AG44" s="52">
        <f t="shared" si="114"/>
        <v>5.1</v>
      </c>
      <c r="AH44" s="52">
        <f t="shared" si="114"/>
        <v>5.1</v>
      </c>
      <c r="AI44" s="52">
        <f t="shared" si="114"/>
        <v>5.1</v>
      </c>
      <c r="AJ44" s="52">
        <f t="shared" si="114"/>
        <v>5.1</v>
      </c>
      <c r="AK44" s="52">
        <f t="shared" si="114"/>
        <v>5.1</v>
      </c>
      <c r="AL44" s="52">
        <f t="shared" si="114"/>
        <v>5.1</v>
      </c>
      <c r="AM44" s="52">
        <f t="shared" si="114"/>
        <v>7.7</v>
      </c>
      <c r="AN44" s="52">
        <f t="shared" si="114"/>
        <v>7.7</v>
      </c>
      <c r="AO44" s="52">
        <f t="shared" si="114"/>
        <v>7.7</v>
      </c>
      <c r="AP44" s="52">
        <f t="shared" si="114"/>
        <v>7.7</v>
      </c>
      <c r="AQ44" s="52">
        <f t="shared" si="114"/>
        <v>7.7</v>
      </c>
      <c r="AR44" s="52">
        <f t="shared" si="114"/>
        <v>7.7</v>
      </c>
      <c r="AS44" s="52">
        <f t="shared" si="114"/>
        <v>7.7</v>
      </c>
      <c r="AT44" s="52">
        <f t="shared" si="114"/>
        <v>7.7</v>
      </c>
      <c r="AU44" s="52">
        <f t="shared" si="114"/>
        <v>7.7</v>
      </c>
      <c r="AV44" s="52">
        <f t="shared" si="114"/>
        <v>7.7</v>
      </c>
      <c r="AW44" s="52">
        <f t="shared" si="114"/>
        <v>7.7</v>
      </c>
      <c r="AX44" s="52">
        <f>SUM(AX41:AX43)</f>
        <v>7.7</v>
      </c>
      <c r="AZ44" s="116">
        <f aca="true" t="shared" si="115" ref="AZ44:CH44">SUM(AZ41:AZ43)</f>
        <v>22750</v>
      </c>
      <c r="BA44" s="116">
        <f t="shared" si="115"/>
        <v>22750</v>
      </c>
      <c r="BB44" s="116">
        <f t="shared" si="115"/>
        <v>22750</v>
      </c>
      <c r="BC44" s="116">
        <f t="shared" si="115"/>
        <v>22750</v>
      </c>
      <c r="BD44" s="116">
        <f t="shared" si="115"/>
        <v>22750</v>
      </c>
      <c r="BE44" s="116">
        <f t="shared" si="115"/>
        <v>22750</v>
      </c>
      <c r="BF44" s="116">
        <f t="shared" si="115"/>
        <v>22750</v>
      </c>
      <c r="BG44" s="116">
        <f t="shared" si="115"/>
        <v>22750</v>
      </c>
      <c r="BH44" s="116">
        <f t="shared" si="115"/>
        <v>22750</v>
      </c>
      <c r="BI44" s="116">
        <f t="shared" si="115"/>
        <v>22750</v>
      </c>
      <c r="BJ44" s="116">
        <f t="shared" si="115"/>
        <v>22750</v>
      </c>
      <c r="BK44" s="116">
        <f t="shared" si="115"/>
        <v>22750</v>
      </c>
      <c r="BL44" s="116">
        <f t="shared" si="115"/>
        <v>33813</v>
      </c>
      <c r="BM44" s="116">
        <f t="shared" si="115"/>
        <v>33813</v>
      </c>
      <c r="BN44" s="116">
        <f t="shared" si="115"/>
        <v>33813</v>
      </c>
      <c r="BO44" s="116">
        <f t="shared" si="115"/>
        <v>33813</v>
      </c>
      <c r="BP44" s="116">
        <f t="shared" si="115"/>
        <v>33813</v>
      </c>
      <c r="BQ44" s="116">
        <f t="shared" si="115"/>
        <v>33813</v>
      </c>
      <c r="BR44" s="116">
        <f t="shared" si="115"/>
        <v>33813</v>
      </c>
      <c r="BS44" s="116">
        <f t="shared" si="115"/>
        <v>33813</v>
      </c>
      <c r="BT44" s="116">
        <f t="shared" si="115"/>
        <v>33813</v>
      </c>
      <c r="BU44" s="116">
        <f t="shared" si="115"/>
        <v>33813</v>
      </c>
      <c r="BV44" s="116">
        <f t="shared" si="115"/>
        <v>33813</v>
      </c>
      <c r="BW44" s="116">
        <f t="shared" si="115"/>
        <v>33813</v>
      </c>
      <c r="BX44" s="116">
        <f t="shared" si="115"/>
        <v>52072.02</v>
      </c>
      <c r="BY44" s="116">
        <f t="shared" si="115"/>
        <v>52072.02</v>
      </c>
      <c r="BZ44" s="116">
        <f t="shared" si="115"/>
        <v>52072.02</v>
      </c>
      <c r="CA44" s="116">
        <f t="shared" si="115"/>
        <v>52072.02</v>
      </c>
      <c r="CB44" s="116">
        <f t="shared" si="115"/>
        <v>52072.02</v>
      </c>
      <c r="CC44" s="116">
        <f t="shared" si="115"/>
        <v>52072.02</v>
      </c>
      <c r="CD44" s="116">
        <f t="shared" si="115"/>
        <v>52072.02</v>
      </c>
      <c r="CE44" s="116">
        <f t="shared" si="115"/>
        <v>52072.02</v>
      </c>
      <c r="CF44" s="116">
        <f t="shared" si="115"/>
        <v>52072.02</v>
      </c>
      <c r="CG44" s="116">
        <f t="shared" si="115"/>
        <v>52072.02</v>
      </c>
      <c r="CH44" s="116">
        <f t="shared" si="115"/>
        <v>52072.02</v>
      </c>
      <c r="CI44" s="119">
        <f>SUM(CI41:CI43)</f>
        <v>52072.02</v>
      </c>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row>
    <row r="45" spans="1:114" s="26" customFormat="1" ht="12.75" customHeight="1">
      <c r="A45" s="45" t="s">
        <v>196</v>
      </c>
      <c r="B45" s="32"/>
      <c r="E45" s="246"/>
      <c r="F45" s="111"/>
      <c r="G45" s="23"/>
      <c r="H45" s="23"/>
      <c r="I45" s="23"/>
      <c r="J45" s="246"/>
      <c r="K45" s="158">
        <f>K44*$B$5</f>
        <v>68250</v>
      </c>
      <c r="L45" s="153">
        <f>L44*$C$5</f>
        <v>101439</v>
      </c>
      <c r="M45" s="153">
        <f>M44*$D$5</f>
        <v>156216.06</v>
      </c>
      <c r="N45" s="246"/>
      <c r="AZ45" s="23">
        <f aca="true" t="shared" si="116" ref="AZ45:BK45">AZ44*$B$5</f>
        <v>5687.5</v>
      </c>
      <c r="BA45" s="23">
        <f t="shared" si="116"/>
        <v>5687.5</v>
      </c>
      <c r="BB45" s="23">
        <f t="shared" si="116"/>
        <v>5687.5</v>
      </c>
      <c r="BC45" s="23">
        <f t="shared" si="116"/>
        <v>5687.5</v>
      </c>
      <c r="BD45" s="23">
        <f t="shared" si="116"/>
        <v>5687.5</v>
      </c>
      <c r="BE45" s="23">
        <f t="shared" si="116"/>
        <v>5687.5</v>
      </c>
      <c r="BF45" s="23">
        <f t="shared" si="116"/>
        <v>5687.5</v>
      </c>
      <c r="BG45" s="23">
        <f t="shared" si="116"/>
        <v>5687.5</v>
      </c>
      <c r="BH45" s="23">
        <f t="shared" si="116"/>
        <v>5687.5</v>
      </c>
      <c r="BI45" s="23">
        <f t="shared" si="116"/>
        <v>5687.5</v>
      </c>
      <c r="BJ45" s="23">
        <f t="shared" si="116"/>
        <v>5687.5</v>
      </c>
      <c r="BK45" s="23">
        <f t="shared" si="116"/>
        <v>5687.5</v>
      </c>
      <c r="BL45" s="23">
        <f aca="true" t="shared" si="117" ref="BL45:BW45">BL44*$C$5</f>
        <v>8453.25</v>
      </c>
      <c r="BM45" s="23">
        <f t="shared" si="117"/>
        <v>8453.25</v>
      </c>
      <c r="BN45" s="23">
        <f t="shared" si="117"/>
        <v>8453.25</v>
      </c>
      <c r="BO45" s="23">
        <f t="shared" si="117"/>
        <v>8453.25</v>
      </c>
      <c r="BP45" s="23">
        <f t="shared" si="117"/>
        <v>8453.25</v>
      </c>
      <c r="BQ45" s="23">
        <f t="shared" si="117"/>
        <v>8453.25</v>
      </c>
      <c r="BR45" s="23">
        <f t="shared" si="117"/>
        <v>8453.25</v>
      </c>
      <c r="BS45" s="23">
        <f t="shared" si="117"/>
        <v>8453.25</v>
      </c>
      <c r="BT45" s="23">
        <f t="shared" si="117"/>
        <v>8453.25</v>
      </c>
      <c r="BU45" s="23">
        <f t="shared" si="117"/>
        <v>8453.25</v>
      </c>
      <c r="BV45" s="23">
        <f t="shared" si="117"/>
        <v>8453.25</v>
      </c>
      <c r="BW45" s="23">
        <f t="shared" si="117"/>
        <v>8453.25</v>
      </c>
      <c r="BX45" s="23">
        <f aca="true" t="shared" si="118" ref="BX45:CI45">BX44*$D$5</f>
        <v>13018.005</v>
      </c>
      <c r="BY45" s="23">
        <f t="shared" si="118"/>
        <v>13018.005</v>
      </c>
      <c r="BZ45" s="23">
        <f t="shared" si="118"/>
        <v>13018.005</v>
      </c>
      <c r="CA45" s="23">
        <f t="shared" si="118"/>
        <v>13018.005</v>
      </c>
      <c r="CB45" s="23">
        <f t="shared" si="118"/>
        <v>13018.005</v>
      </c>
      <c r="CC45" s="23">
        <f t="shared" si="118"/>
        <v>13018.005</v>
      </c>
      <c r="CD45" s="23">
        <f t="shared" si="118"/>
        <v>13018.005</v>
      </c>
      <c r="CE45" s="23">
        <f t="shared" si="118"/>
        <v>13018.005</v>
      </c>
      <c r="CF45" s="23">
        <f t="shared" si="118"/>
        <v>13018.005</v>
      </c>
      <c r="CG45" s="23">
        <f t="shared" si="118"/>
        <v>13018.005</v>
      </c>
      <c r="CH45" s="23">
        <f t="shared" si="118"/>
        <v>13018.005</v>
      </c>
      <c r="CI45" s="112">
        <f t="shared" si="118"/>
        <v>13018.005</v>
      </c>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row>
    <row r="46" spans="1:114" s="26" customFormat="1" ht="12.75" customHeight="1" thickBot="1">
      <c r="A46" s="45" t="s">
        <v>264</v>
      </c>
      <c r="B46" s="32"/>
      <c r="E46" s="246"/>
      <c r="F46" s="111"/>
      <c r="G46" s="23"/>
      <c r="H46" s="23"/>
      <c r="I46" s="23"/>
      <c r="J46" s="246"/>
      <c r="K46" s="158">
        <f>K44+K45</f>
        <v>341250</v>
      </c>
      <c r="L46" s="153">
        <f>L44+L45</f>
        <v>507195</v>
      </c>
      <c r="M46" s="153">
        <f>M44+M45</f>
        <v>781080.3</v>
      </c>
      <c r="N46" s="256"/>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26">
        <f aca="true" t="shared" si="119" ref="AZ46:CI46">AZ44+AZ45</f>
        <v>28437.5</v>
      </c>
      <c r="BA46" s="126">
        <f t="shared" si="119"/>
        <v>28437.5</v>
      </c>
      <c r="BB46" s="126">
        <f t="shared" si="119"/>
        <v>28437.5</v>
      </c>
      <c r="BC46" s="126">
        <f t="shared" si="119"/>
        <v>28437.5</v>
      </c>
      <c r="BD46" s="126">
        <f t="shared" si="119"/>
        <v>28437.5</v>
      </c>
      <c r="BE46" s="126">
        <f t="shared" si="119"/>
        <v>28437.5</v>
      </c>
      <c r="BF46" s="126">
        <f t="shared" si="119"/>
        <v>28437.5</v>
      </c>
      <c r="BG46" s="126">
        <f t="shared" si="119"/>
        <v>28437.5</v>
      </c>
      <c r="BH46" s="126">
        <f t="shared" si="119"/>
        <v>28437.5</v>
      </c>
      <c r="BI46" s="126">
        <f t="shared" si="119"/>
        <v>28437.5</v>
      </c>
      <c r="BJ46" s="126">
        <f t="shared" si="119"/>
        <v>28437.5</v>
      </c>
      <c r="BK46" s="126">
        <f t="shared" si="119"/>
        <v>28437.5</v>
      </c>
      <c r="BL46" s="126">
        <f t="shared" si="119"/>
        <v>42266.25</v>
      </c>
      <c r="BM46" s="126">
        <f t="shared" si="119"/>
        <v>42266.25</v>
      </c>
      <c r="BN46" s="126">
        <f t="shared" si="119"/>
        <v>42266.25</v>
      </c>
      <c r="BO46" s="126">
        <f t="shared" si="119"/>
        <v>42266.25</v>
      </c>
      <c r="BP46" s="126">
        <f t="shared" si="119"/>
        <v>42266.25</v>
      </c>
      <c r="BQ46" s="126">
        <f t="shared" si="119"/>
        <v>42266.25</v>
      </c>
      <c r="BR46" s="126">
        <f t="shared" si="119"/>
        <v>42266.25</v>
      </c>
      <c r="BS46" s="126">
        <f t="shared" si="119"/>
        <v>42266.25</v>
      </c>
      <c r="BT46" s="126">
        <f t="shared" si="119"/>
        <v>42266.25</v>
      </c>
      <c r="BU46" s="126">
        <f t="shared" si="119"/>
        <v>42266.25</v>
      </c>
      <c r="BV46" s="126">
        <f t="shared" si="119"/>
        <v>42266.25</v>
      </c>
      <c r="BW46" s="126">
        <f t="shared" si="119"/>
        <v>42266.25</v>
      </c>
      <c r="BX46" s="126">
        <f t="shared" si="119"/>
        <v>65090.024999999994</v>
      </c>
      <c r="BY46" s="126">
        <f t="shared" si="119"/>
        <v>65090.024999999994</v>
      </c>
      <c r="BZ46" s="126">
        <f t="shared" si="119"/>
        <v>65090.024999999994</v>
      </c>
      <c r="CA46" s="126">
        <f t="shared" si="119"/>
        <v>65090.024999999994</v>
      </c>
      <c r="CB46" s="126">
        <f t="shared" si="119"/>
        <v>65090.024999999994</v>
      </c>
      <c r="CC46" s="126">
        <f t="shared" si="119"/>
        <v>65090.024999999994</v>
      </c>
      <c r="CD46" s="126">
        <f t="shared" si="119"/>
        <v>65090.024999999994</v>
      </c>
      <c r="CE46" s="126">
        <f t="shared" si="119"/>
        <v>65090.024999999994</v>
      </c>
      <c r="CF46" s="126">
        <f t="shared" si="119"/>
        <v>65090.024999999994</v>
      </c>
      <c r="CG46" s="126">
        <f t="shared" si="119"/>
        <v>65090.024999999994</v>
      </c>
      <c r="CH46" s="126">
        <f t="shared" si="119"/>
        <v>65090.024999999994</v>
      </c>
      <c r="CI46" s="127">
        <f t="shared" si="119"/>
        <v>65090.024999999994</v>
      </c>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row>
    <row r="47" spans="1:87" ht="12.75" customHeight="1">
      <c r="A47" s="208"/>
      <c r="B47" s="208"/>
      <c r="C47" s="209"/>
      <c r="D47" s="209"/>
      <c r="E47" s="254"/>
      <c r="F47" s="259"/>
      <c r="G47" s="260"/>
      <c r="H47" s="260"/>
      <c r="I47" s="260"/>
      <c r="J47" s="254"/>
      <c r="K47" s="261"/>
      <c r="L47" s="262"/>
      <c r="M47" s="78"/>
      <c r="N47" s="24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row>
    <row r="48" spans="1:87" s="217" customFormat="1" ht="12.75" customHeight="1" thickBot="1">
      <c r="A48" s="218"/>
      <c r="B48" s="218"/>
      <c r="E48" s="249"/>
      <c r="F48" s="219"/>
      <c r="G48" s="220"/>
      <c r="H48" s="220"/>
      <c r="I48" s="220"/>
      <c r="J48" s="249"/>
      <c r="K48" s="218"/>
      <c r="M48" s="79"/>
      <c r="N48" s="249"/>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row>
    <row r="49" spans="1:87" ht="12.75" customHeight="1" thickTop="1">
      <c r="A49" s="162" t="s">
        <v>338</v>
      </c>
      <c r="B49" s="221">
        <f>B16+B24+B36+B44</f>
        <v>46.6</v>
      </c>
      <c r="C49" s="222">
        <f>C16+C24+C36+C44</f>
        <v>67.1</v>
      </c>
      <c r="D49" s="222">
        <f>D16+D24+D36+D44</f>
        <v>90.4</v>
      </c>
      <c r="E49" s="80"/>
      <c r="F49" s="162"/>
      <c r="G49" s="223"/>
      <c r="H49" s="224"/>
      <c r="I49" s="224"/>
      <c r="J49" s="246"/>
      <c r="K49" s="32"/>
      <c r="L49" s="26"/>
      <c r="M49" s="108"/>
      <c r="N49" s="246"/>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row>
    <row r="50" spans="1:87" ht="12.75" customHeight="1">
      <c r="A50" s="57" t="s">
        <v>378</v>
      </c>
      <c r="B50" s="32"/>
      <c r="C50" s="26"/>
      <c r="D50" s="26"/>
      <c r="E50" s="246"/>
      <c r="F50" s="32"/>
      <c r="G50" s="26"/>
      <c r="H50" s="26"/>
      <c r="I50" s="26"/>
      <c r="J50" s="246"/>
      <c r="K50" s="226">
        <f>K18+K26+K38+K46</f>
        <v>4308125</v>
      </c>
      <c r="L50" s="227">
        <f>L18+L26+L38+L46</f>
        <v>6051532.5</v>
      </c>
      <c r="M50" s="58">
        <f>M18+M26+M38+M46</f>
        <v>8004707.55</v>
      </c>
      <c r="N50" s="24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row>
    <row r="51" spans="1:87" ht="12.75" customHeight="1" thickBot="1">
      <c r="A51" s="159"/>
      <c r="B51" s="159"/>
      <c r="C51" s="138"/>
      <c r="D51" s="138"/>
      <c r="E51" s="256"/>
      <c r="F51" s="159"/>
      <c r="G51" s="138"/>
      <c r="H51" s="138"/>
      <c r="I51" s="138"/>
      <c r="J51" s="256"/>
      <c r="K51" s="159"/>
      <c r="L51" s="138"/>
      <c r="M51" s="161"/>
      <c r="N51" s="24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row>
    <row r="53" spans="1:87" ht="12.75" customHeight="1">
      <c r="A53" s="228" t="s">
        <v>379</v>
      </c>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row>
    <row r="55" ht="12.75" customHeight="1" thickBot="1"/>
    <row r="56" spans="1:87" ht="12.75" customHeight="1">
      <c r="A56" s="263" t="s">
        <v>380</v>
      </c>
      <c r="B56" s="208" t="s">
        <v>333</v>
      </c>
      <c r="C56" s="209"/>
      <c r="D56" s="209"/>
      <c r="E56" s="254"/>
      <c r="F56" s="208" t="s">
        <v>269</v>
      </c>
      <c r="G56" s="209"/>
      <c r="H56" s="209"/>
      <c r="I56" s="209"/>
      <c r="J56" s="254"/>
      <c r="K56" s="208" t="s">
        <v>154</v>
      </c>
      <c r="L56" s="209"/>
      <c r="M56" s="209"/>
      <c r="N56" s="254"/>
      <c r="O56" s="54" t="s">
        <v>319</v>
      </c>
      <c r="P56" s="54"/>
      <c r="Q56" s="54"/>
      <c r="R56" s="54"/>
      <c r="S56" s="54"/>
      <c r="T56" s="54"/>
      <c r="U56" s="54"/>
      <c r="V56" s="54"/>
      <c r="W56" s="54"/>
      <c r="X56" s="54"/>
      <c r="Y56" s="54"/>
      <c r="Z56" s="54"/>
      <c r="AA56" s="54" t="s">
        <v>320</v>
      </c>
      <c r="AB56" s="54"/>
      <c r="AC56" s="54"/>
      <c r="AD56" s="54"/>
      <c r="AE56" s="54"/>
      <c r="AF56" s="54"/>
      <c r="AG56" s="54"/>
      <c r="AH56" s="54"/>
      <c r="AI56" s="54"/>
      <c r="AJ56" s="54"/>
      <c r="AK56" s="54"/>
      <c r="AL56" s="54"/>
      <c r="AM56" s="54" t="s">
        <v>321</v>
      </c>
      <c r="AN56" s="54"/>
      <c r="AO56" s="54"/>
      <c r="AP56" s="54"/>
      <c r="AQ56" s="54"/>
      <c r="AR56" s="54"/>
      <c r="AS56" s="54"/>
      <c r="AT56" s="54"/>
      <c r="AU56" s="54"/>
      <c r="AV56" s="54"/>
      <c r="AW56" s="54"/>
      <c r="AX56" s="54"/>
      <c r="AY56" s="209"/>
      <c r="AZ56" s="255" t="s">
        <v>319</v>
      </c>
      <c r="BA56" s="209"/>
      <c r="BB56" s="209"/>
      <c r="BC56" s="209"/>
      <c r="BD56" s="54"/>
      <c r="BE56" s="54"/>
      <c r="BF56" s="54"/>
      <c r="BG56" s="54"/>
      <c r="BH56" s="54"/>
      <c r="BI56" s="54"/>
      <c r="BJ56" s="54"/>
      <c r="BK56" s="54"/>
      <c r="BL56" s="255" t="s">
        <v>320</v>
      </c>
      <c r="BM56" s="209"/>
      <c r="BN56" s="209"/>
      <c r="BO56" s="209"/>
      <c r="BP56" s="54"/>
      <c r="BQ56" s="54"/>
      <c r="BR56" s="54"/>
      <c r="BS56" s="54"/>
      <c r="BT56" s="54"/>
      <c r="BU56" s="54"/>
      <c r="BV56" s="54"/>
      <c r="BW56" s="54"/>
      <c r="BX56" s="255" t="s">
        <v>321</v>
      </c>
      <c r="BY56" s="209"/>
      <c r="BZ56" s="209"/>
      <c r="CA56" s="209"/>
      <c r="CB56" s="54"/>
      <c r="CC56" s="54"/>
      <c r="CD56" s="54"/>
      <c r="CE56" s="54"/>
      <c r="CF56" s="54"/>
      <c r="CG56" s="54"/>
      <c r="CH56" s="54"/>
      <c r="CI56" s="39"/>
    </row>
    <row r="57" spans="1:87" ht="12.75" customHeight="1">
      <c r="A57" s="32"/>
      <c r="B57" s="32" t="s">
        <v>319</v>
      </c>
      <c r="C57" s="26" t="s">
        <v>320</v>
      </c>
      <c r="D57" s="26" t="s">
        <v>321</v>
      </c>
      <c r="E57" s="246"/>
      <c r="F57" s="210" t="s">
        <v>250</v>
      </c>
      <c r="G57" s="55" t="s">
        <v>319</v>
      </c>
      <c r="H57" s="55" t="s">
        <v>320</v>
      </c>
      <c r="I57" s="55" t="s">
        <v>321</v>
      </c>
      <c r="J57" s="246"/>
      <c r="K57" s="32" t="s">
        <v>319</v>
      </c>
      <c r="L57" s="26" t="s">
        <v>320</v>
      </c>
      <c r="M57" s="26" t="s">
        <v>321</v>
      </c>
      <c r="N57" s="246"/>
      <c r="O57" s="41" t="s">
        <v>323</v>
      </c>
      <c r="P57" s="41" t="s">
        <v>324</v>
      </c>
      <c r="Q57" s="41" t="s">
        <v>325</v>
      </c>
      <c r="R57" s="41" t="s">
        <v>326</v>
      </c>
      <c r="S57" s="41" t="s">
        <v>130</v>
      </c>
      <c r="T57" s="41" t="s">
        <v>131</v>
      </c>
      <c r="U57" s="41" t="s">
        <v>132</v>
      </c>
      <c r="V57" s="41" t="s">
        <v>133</v>
      </c>
      <c r="W57" s="41" t="s">
        <v>134</v>
      </c>
      <c r="X57" s="41" t="s">
        <v>135</v>
      </c>
      <c r="Y57" s="41" t="s">
        <v>136</v>
      </c>
      <c r="Z57" s="41" t="s">
        <v>137</v>
      </c>
      <c r="AA57" s="41" t="s">
        <v>323</v>
      </c>
      <c r="AB57" s="41" t="s">
        <v>324</v>
      </c>
      <c r="AC57" s="41" t="s">
        <v>325</v>
      </c>
      <c r="AD57" s="41" t="s">
        <v>326</v>
      </c>
      <c r="AE57" s="41" t="s">
        <v>130</v>
      </c>
      <c r="AF57" s="41" t="s">
        <v>131</v>
      </c>
      <c r="AG57" s="41" t="s">
        <v>132</v>
      </c>
      <c r="AH57" s="41" t="s">
        <v>133</v>
      </c>
      <c r="AI57" s="41" t="s">
        <v>134</v>
      </c>
      <c r="AJ57" s="41" t="s">
        <v>135</v>
      </c>
      <c r="AK57" s="41" t="s">
        <v>136</v>
      </c>
      <c r="AL57" s="41" t="s">
        <v>137</v>
      </c>
      <c r="AM57" s="43" t="s">
        <v>323</v>
      </c>
      <c r="AN57" s="43" t="s">
        <v>324</v>
      </c>
      <c r="AO57" s="43" t="s">
        <v>325</v>
      </c>
      <c r="AP57" s="43" t="s">
        <v>326</v>
      </c>
      <c r="AQ57" s="43" t="s">
        <v>130</v>
      </c>
      <c r="AR57" s="43" t="s">
        <v>131</v>
      </c>
      <c r="AS57" s="43" t="s">
        <v>132</v>
      </c>
      <c r="AT57" s="43" t="s">
        <v>133</v>
      </c>
      <c r="AU57" s="43" t="s">
        <v>134</v>
      </c>
      <c r="AV57" s="43" t="s">
        <v>135</v>
      </c>
      <c r="AW57" s="43" t="s">
        <v>136</v>
      </c>
      <c r="AX57" s="43" t="s">
        <v>137</v>
      </c>
      <c r="AY57" s="26"/>
      <c r="AZ57" s="41" t="s">
        <v>323</v>
      </c>
      <c r="BA57" s="41" t="s">
        <v>324</v>
      </c>
      <c r="BB57" s="41" t="s">
        <v>325</v>
      </c>
      <c r="BC57" s="41" t="s">
        <v>326</v>
      </c>
      <c r="BD57" s="41" t="s">
        <v>130</v>
      </c>
      <c r="BE57" s="41" t="s">
        <v>131</v>
      </c>
      <c r="BF57" s="41" t="s">
        <v>132</v>
      </c>
      <c r="BG57" s="41" t="s">
        <v>133</v>
      </c>
      <c r="BH57" s="41" t="s">
        <v>134</v>
      </c>
      <c r="BI57" s="41" t="s">
        <v>135</v>
      </c>
      <c r="BJ57" s="41" t="s">
        <v>136</v>
      </c>
      <c r="BK57" s="41" t="s">
        <v>137</v>
      </c>
      <c r="BL57" s="41" t="s">
        <v>323</v>
      </c>
      <c r="BM57" s="41" t="s">
        <v>324</v>
      </c>
      <c r="BN57" s="41" t="s">
        <v>325</v>
      </c>
      <c r="BO57" s="41" t="s">
        <v>326</v>
      </c>
      <c r="BP57" s="41" t="s">
        <v>130</v>
      </c>
      <c r="BQ57" s="41" t="s">
        <v>131</v>
      </c>
      <c r="BR57" s="41" t="s">
        <v>132</v>
      </c>
      <c r="BS57" s="41" t="s">
        <v>133</v>
      </c>
      <c r="BT57" s="41" t="s">
        <v>134</v>
      </c>
      <c r="BU57" s="41" t="s">
        <v>135</v>
      </c>
      <c r="BV57" s="41" t="s">
        <v>136</v>
      </c>
      <c r="BW57" s="41" t="s">
        <v>137</v>
      </c>
      <c r="BX57" s="43" t="s">
        <v>323</v>
      </c>
      <c r="BY57" s="43" t="s">
        <v>324</v>
      </c>
      <c r="BZ57" s="43" t="s">
        <v>325</v>
      </c>
      <c r="CA57" s="43" t="s">
        <v>326</v>
      </c>
      <c r="CB57" s="43" t="s">
        <v>130</v>
      </c>
      <c r="CC57" s="43" t="s">
        <v>131</v>
      </c>
      <c r="CD57" s="43" t="s">
        <v>132</v>
      </c>
      <c r="CE57" s="43" t="s">
        <v>133</v>
      </c>
      <c r="CF57" s="43" t="s">
        <v>134</v>
      </c>
      <c r="CG57" s="43" t="s">
        <v>135</v>
      </c>
      <c r="CH57" s="43" t="s">
        <v>136</v>
      </c>
      <c r="CI57" s="106" t="s">
        <v>137</v>
      </c>
    </row>
    <row r="58" spans="1:87" ht="12.75" customHeight="1">
      <c r="A58" s="162" t="s">
        <v>145</v>
      </c>
      <c r="B58" s="32"/>
      <c r="C58" s="26"/>
      <c r="D58" s="26"/>
      <c r="E58" s="246"/>
      <c r="F58" s="111"/>
      <c r="G58" s="23"/>
      <c r="H58" s="23"/>
      <c r="I58" s="23"/>
      <c r="J58" s="246"/>
      <c r="K58" s="32"/>
      <c r="L58" s="26"/>
      <c r="M58" s="26"/>
      <c r="N58" s="24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112"/>
    </row>
    <row r="59" spans="1:87" ht="12.75" customHeight="1">
      <c r="A59" s="32" t="s">
        <v>251</v>
      </c>
      <c r="B59" s="234">
        <v>20</v>
      </c>
      <c r="C59" s="235">
        <v>25</v>
      </c>
      <c r="D59" s="235">
        <v>30</v>
      </c>
      <c r="E59" s="246"/>
      <c r="F59" s="238">
        <f>6500*12</f>
        <v>78000</v>
      </c>
      <c r="G59" s="23">
        <f>F59</f>
        <v>78000</v>
      </c>
      <c r="H59" s="23">
        <f>G59*(1+C4)</f>
        <v>79560</v>
      </c>
      <c r="I59" s="23">
        <f>H59*(1+D4)</f>
        <v>81151.2</v>
      </c>
      <c r="J59" s="246"/>
      <c r="K59" s="158">
        <f>SUM(AZ59:BK59)</f>
        <v>1560000</v>
      </c>
      <c r="L59" s="153">
        <f>SUM(BL59:BW59)</f>
        <v>1989000</v>
      </c>
      <c r="M59" s="153">
        <f>SUM(BX59:CI59)</f>
        <v>2434535.9999999995</v>
      </c>
      <c r="N59" s="246"/>
      <c r="O59" s="26">
        <f>$B$59</f>
        <v>20</v>
      </c>
      <c r="P59" s="26">
        <f aca="true" t="shared" si="120" ref="P59:Z59">$B$59</f>
        <v>20</v>
      </c>
      <c r="Q59" s="26">
        <f t="shared" si="120"/>
        <v>20</v>
      </c>
      <c r="R59" s="26">
        <f t="shared" si="120"/>
        <v>20</v>
      </c>
      <c r="S59" s="26">
        <f t="shared" si="120"/>
        <v>20</v>
      </c>
      <c r="T59" s="26">
        <f t="shared" si="120"/>
        <v>20</v>
      </c>
      <c r="U59" s="26">
        <f t="shared" si="120"/>
        <v>20</v>
      </c>
      <c r="V59" s="26">
        <f t="shared" si="120"/>
        <v>20</v>
      </c>
      <c r="W59" s="26">
        <f t="shared" si="120"/>
        <v>20</v>
      </c>
      <c r="X59" s="26">
        <f t="shared" si="120"/>
        <v>20</v>
      </c>
      <c r="Y59" s="26">
        <f t="shared" si="120"/>
        <v>20</v>
      </c>
      <c r="Z59" s="26">
        <f t="shared" si="120"/>
        <v>20</v>
      </c>
      <c r="AA59" s="26">
        <f>$C$59</f>
        <v>25</v>
      </c>
      <c r="AB59" s="26">
        <f aca="true" t="shared" si="121" ref="AB59:AL59">$C$59</f>
        <v>25</v>
      </c>
      <c r="AC59" s="26">
        <f t="shared" si="121"/>
        <v>25</v>
      </c>
      <c r="AD59" s="26">
        <f t="shared" si="121"/>
        <v>25</v>
      </c>
      <c r="AE59" s="26">
        <f t="shared" si="121"/>
        <v>25</v>
      </c>
      <c r="AF59" s="26">
        <f t="shared" si="121"/>
        <v>25</v>
      </c>
      <c r="AG59" s="26">
        <f t="shared" si="121"/>
        <v>25</v>
      </c>
      <c r="AH59" s="26">
        <f t="shared" si="121"/>
        <v>25</v>
      </c>
      <c r="AI59" s="26">
        <f t="shared" si="121"/>
        <v>25</v>
      </c>
      <c r="AJ59" s="26">
        <f t="shared" si="121"/>
        <v>25</v>
      </c>
      <c r="AK59" s="26">
        <f t="shared" si="121"/>
        <v>25</v>
      </c>
      <c r="AL59" s="26">
        <f t="shared" si="121"/>
        <v>25</v>
      </c>
      <c r="AM59" s="26">
        <f>$D$59</f>
        <v>30</v>
      </c>
      <c r="AN59" s="26">
        <f aca="true" t="shared" si="122" ref="AN59:AX59">$D$59</f>
        <v>30</v>
      </c>
      <c r="AO59" s="26">
        <f t="shared" si="122"/>
        <v>30</v>
      </c>
      <c r="AP59" s="26">
        <f t="shared" si="122"/>
        <v>30</v>
      </c>
      <c r="AQ59" s="26">
        <f t="shared" si="122"/>
        <v>30</v>
      </c>
      <c r="AR59" s="26">
        <f t="shared" si="122"/>
        <v>30</v>
      </c>
      <c r="AS59" s="26">
        <f t="shared" si="122"/>
        <v>30</v>
      </c>
      <c r="AT59" s="26">
        <f t="shared" si="122"/>
        <v>30</v>
      </c>
      <c r="AU59" s="26">
        <f t="shared" si="122"/>
        <v>30</v>
      </c>
      <c r="AV59" s="26">
        <f t="shared" si="122"/>
        <v>30</v>
      </c>
      <c r="AW59" s="26">
        <f t="shared" si="122"/>
        <v>30</v>
      </c>
      <c r="AX59" s="26">
        <f t="shared" si="122"/>
        <v>30</v>
      </c>
      <c r="AY59" s="26"/>
      <c r="AZ59" s="23">
        <f>($G$59/12)*O59</f>
        <v>130000</v>
      </c>
      <c r="BA59" s="23">
        <f aca="true" t="shared" si="123" ref="BA59:BK59">($G$59/12)*P59</f>
        <v>130000</v>
      </c>
      <c r="BB59" s="23">
        <f t="shared" si="123"/>
        <v>130000</v>
      </c>
      <c r="BC59" s="23">
        <f t="shared" si="123"/>
        <v>130000</v>
      </c>
      <c r="BD59" s="23">
        <f t="shared" si="123"/>
        <v>130000</v>
      </c>
      <c r="BE59" s="23">
        <f t="shared" si="123"/>
        <v>130000</v>
      </c>
      <c r="BF59" s="23">
        <f t="shared" si="123"/>
        <v>130000</v>
      </c>
      <c r="BG59" s="23">
        <f t="shared" si="123"/>
        <v>130000</v>
      </c>
      <c r="BH59" s="23">
        <f t="shared" si="123"/>
        <v>130000</v>
      </c>
      <c r="BI59" s="23">
        <f t="shared" si="123"/>
        <v>130000</v>
      </c>
      <c r="BJ59" s="23">
        <f t="shared" si="123"/>
        <v>130000</v>
      </c>
      <c r="BK59" s="23">
        <f t="shared" si="123"/>
        <v>130000</v>
      </c>
      <c r="BL59" s="23">
        <f>($H$59/12)*AA59</f>
        <v>165750</v>
      </c>
      <c r="BM59" s="23">
        <f>($H$59/12)*AB59</f>
        <v>165750</v>
      </c>
      <c r="BN59" s="23">
        <f aca="true" t="shared" si="124" ref="BN59:BW59">($H$59/12)*AC59</f>
        <v>165750</v>
      </c>
      <c r="BO59" s="23">
        <f t="shared" si="124"/>
        <v>165750</v>
      </c>
      <c r="BP59" s="23">
        <f t="shared" si="124"/>
        <v>165750</v>
      </c>
      <c r="BQ59" s="23">
        <f t="shared" si="124"/>
        <v>165750</v>
      </c>
      <c r="BR59" s="23">
        <f t="shared" si="124"/>
        <v>165750</v>
      </c>
      <c r="BS59" s="23">
        <f t="shared" si="124"/>
        <v>165750</v>
      </c>
      <c r="BT59" s="23">
        <f t="shared" si="124"/>
        <v>165750</v>
      </c>
      <c r="BU59" s="23">
        <f t="shared" si="124"/>
        <v>165750</v>
      </c>
      <c r="BV59" s="23">
        <f t="shared" si="124"/>
        <v>165750</v>
      </c>
      <c r="BW59" s="23">
        <f t="shared" si="124"/>
        <v>165750</v>
      </c>
      <c r="BX59" s="23">
        <f>($I$59/12)*AM59</f>
        <v>202877.99999999997</v>
      </c>
      <c r="BY59" s="23">
        <f aca="true" t="shared" si="125" ref="BY59:CI59">($I$59/12)*AN59</f>
        <v>202877.99999999997</v>
      </c>
      <c r="BZ59" s="23">
        <f t="shared" si="125"/>
        <v>202877.99999999997</v>
      </c>
      <c r="CA59" s="23">
        <f t="shared" si="125"/>
        <v>202877.99999999997</v>
      </c>
      <c r="CB59" s="23">
        <f t="shared" si="125"/>
        <v>202877.99999999997</v>
      </c>
      <c r="CC59" s="23">
        <f t="shared" si="125"/>
        <v>202877.99999999997</v>
      </c>
      <c r="CD59" s="23">
        <f t="shared" si="125"/>
        <v>202877.99999999997</v>
      </c>
      <c r="CE59" s="23">
        <f t="shared" si="125"/>
        <v>202877.99999999997</v>
      </c>
      <c r="CF59" s="23">
        <f t="shared" si="125"/>
        <v>202877.99999999997</v>
      </c>
      <c r="CG59" s="23">
        <f t="shared" si="125"/>
        <v>202877.99999999997</v>
      </c>
      <c r="CH59" s="23">
        <f t="shared" si="125"/>
        <v>202877.99999999997</v>
      </c>
      <c r="CI59" s="112">
        <f t="shared" si="125"/>
        <v>202877.99999999997</v>
      </c>
    </row>
    <row r="60" spans="1:114" s="52" customFormat="1" ht="12.75" customHeight="1">
      <c r="A60" s="38" t="s">
        <v>252</v>
      </c>
      <c r="B60" s="236">
        <v>6</v>
      </c>
      <c r="C60" s="237">
        <v>6</v>
      </c>
      <c r="D60" s="237">
        <v>6</v>
      </c>
      <c r="E60" s="248"/>
      <c r="F60" s="239">
        <f>6500*12</f>
        <v>78000</v>
      </c>
      <c r="G60" s="116">
        <f>F60</f>
        <v>78000</v>
      </c>
      <c r="H60" s="116">
        <f>G60*(1+C4)</f>
        <v>79560</v>
      </c>
      <c r="I60" s="116">
        <f>H60*(1+D4)</f>
        <v>81151.2</v>
      </c>
      <c r="J60" s="248"/>
      <c r="K60" s="214">
        <f>SUM(AZ60:BK60)</f>
        <v>468000</v>
      </c>
      <c r="L60" s="215">
        <f>SUM(BL60:BW60)</f>
        <v>477360</v>
      </c>
      <c r="M60" s="215">
        <f>SUM(BX60:CI60)</f>
        <v>486907.1999999999</v>
      </c>
      <c r="N60" s="248"/>
      <c r="O60" s="52">
        <f>$B$60</f>
        <v>6</v>
      </c>
      <c r="P60" s="52">
        <f aca="true" t="shared" si="126" ref="P60:Z60">$B$60</f>
        <v>6</v>
      </c>
      <c r="Q60" s="52">
        <f t="shared" si="126"/>
        <v>6</v>
      </c>
      <c r="R60" s="52">
        <f t="shared" si="126"/>
        <v>6</v>
      </c>
      <c r="S60" s="52">
        <f t="shared" si="126"/>
        <v>6</v>
      </c>
      <c r="T60" s="52">
        <f t="shared" si="126"/>
        <v>6</v>
      </c>
      <c r="U60" s="52">
        <f t="shared" si="126"/>
        <v>6</v>
      </c>
      <c r="V60" s="52">
        <f t="shared" si="126"/>
        <v>6</v>
      </c>
      <c r="W60" s="52">
        <f t="shared" si="126"/>
        <v>6</v>
      </c>
      <c r="X60" s="52">
        <f t="shared" si="126"/>
        <v>6</v>
      </c>
      <c r="Y60" s="52">
        <f t="shared" si="126"/>
        <v>6</v>
      </c>
      <c r="Z60" s="52">
        <f t="shared" si="126"/>
        <v>6</v>
      </c>
      <c r="AA60" s="52">
        <f aca="true" t="shared" si="127" ref="AA60:AL60">$C$60</f>
        <v>6</v>
      </c>
      <c r="AB60" s="52">
        <f t="shared" si="127"/>
        <v>6</v>
      </c>
      <c r="AC60" s="52">
        <f t="shared" si="127"/>
        <v>6</v>
      </c>
      <c r="AD60" s="52">
        <f t="shared" si="127"/>
        <v>6</v>
      </c>
      <c r="AE60" s="52">
        <f t="shared" si="127"/>
        <v>6</v>
      </c>
      <c r="AF60" s="52">
        <f t="shared" si="127"/>
        <v>6</v>
      </c>
      <c r="AG60" s="52">
        <f t="shared" si="127"/>
        <v>6</v>
      </c>
      <c r="AH60" s="52">
        <f t="shared" si="127"/>
        <v>6</v>
      </c>
      <c r="AI60" s="52">
        <f t="shared" si="127"/>
        <v>6</v>
      </c>
      <c r="AJ60" s="52">
        <f t="shared" si="127"/>
        <v>6</v>
      </c>
      <c r="AK60" s="52">
        <f t="shared" si="127"/>
        <v>6</v>
      </c>
      <c r="AL60" s="52">
        <f t="shared" si="127"/>
        <v>6</v>
      </c>
      <c r="AM60" s="52">
        <f aca="true" t="shared" si="128" ref="AM60:AX60">$D$60</f>
        <v>6</v>
      </c>
      <c r="AN60" s="52">
        <f t="shared" si="128"/>
        <v>6</v>
      </c>
      <c r="AO60" s="52">
        <f t="shared" si="128"/>
        <v>6</v>
      </c>
      <c r="AP60" s="52">
        <f t="shared" si="128"/>
        <v>6</v>
      </c>
      <c r="AQ60" s="52">
        <f t="shared" si="128"/>
        <v>6</v>
      </c>
      <c r="AR60" s="52">
        <f t="shared" si="128"/>
        <v>6</v>
      </c>
      <c r="AS60" s="52">
        <f t="shared" si="128"/>
        <v>6</v>
      </c>
      <c r="AT60" s="52">
        <f t="shared" si="128"/>
        <v>6</v>
      </c>
      <c r="AU60" s="52">
        <f t="shared" si="128"/>
        <v>6</v>
      </c>
      <c r="AV60" s="52">
        <f t="shared" si="128"/>
        <v>6</v>
      </c>
      <c r="AW60" s="52">
        <f t="shared" si="128"/>
        <v>6</v>
      </c>
      <c r="AX60" s="52">
        <f t="shared" si="128"/>
        <v>6</v>
      </c>
      <c r="AZ60" s="116">
        <f>($G$60/12)*O60</f>
        <v>39000</v>
      </c>
      <c r="BA60" s="116">
        <f>($G$60/12)*P60</f>
        <v>39000</v>
      </c>
      <c r="BB60" s="116">
        <f>($G$60/12)*Q60</f>
        <v>39000</v>
      </c>
      <c r="BC60" s="116">
        <f>($G$60/12)*R60</f>
        <v>39000</v>
      </c>
      <c r="BD60" s="116">
        <f aca="true" t="shared" si="129" ref="BD60:BK60">($G$60/12)*S60</f>
        <v>39000</v>
      </c>
      <c r="BE60" s="116">
        <f t="shared" si="129"/>
        <v>39000</v>
      </c>
      <c r="BF60" s="116">
        <f t="shared" si="129"/>
        <v>39000</v>
      </c>
      <c r="BG60" s="116">
        <f t="shared" si="129"/>
        <v>39000</v>
      </c>
      <c r="BH60" s="116">
        <f t="shared" si="129"/>
        <v>39000</v>
      </c>
      <c r="BI60" s="116">
        <f t="shared" si="129"/>
        <v>39000</v>
      </c>
      <c r="BJ60" s="116">
        <f t="shared" si="129"/>
        <v>39000</v>
      </c>
      <c r="BK60" s="116">
        <f t="shared" si="129"/>
        <v>39000</v>
      </c>
      <c r="BL60" s="116">
        <f aca="true" t="shared" si="130" ref="BL60:BW60">($H$60/12)*AA60</f>
        <v>39780</v>
      </c>
      <c r="BM60" s="116">
        <f t="shared" si="130"/>
        <v>39780</v>
      </c>
      <c r="BN60" s="116">
        <f t="shared" si="130"/>
        <v>39780</v>
      </c>
      <c r="BO60" s="116">
        <f t="shared" si="130"/>
        <v>39780</v>
      </c>
      <c r="BP60" s="116">
        <f t="shared" si="130"/>
        <v>39780</v>
      </c>
      <c r="BQ60" s="116">
        <f t="shared" si="130"/>
        <v>39780</v>
      </c>
      <c r="BR60" s="116">
        <f t="shared" si="130"/>
        <v>39780</v>
      </c>
      <c r="BS60" s="116">
        <f t="shared" si="130"/>
        <v>39780</v>
      </c>
      <c r="BT60" s="116">
        <f t="shared" si="130"/>
        <v>39780</v>
      </c>
      <c r="BU60" s="116">
        <f t="shared" si="130"/>
        <v>39780</v>
      </c>
      <c r="BV60" s="116">
        <f t="shared" si="130"/>
        <v>39780</v>
      </c>
      <c r="BW60" s="116">
        <f t="shared" si="130"/>
        <v>39780</v>
      </c>
      <c r="BX60" s="116">
        <f aca="true" t="shared" si="131" ref="BX60:CI60">($I$60/12)*AM60</f>
        <v>40575.6</v>
      </c>
      <c r="BY60" s="116">
        <f t="shared" si="131"/>
        <v>40575.6</v>
      </c>
      <c r="BZ60" s="116">
        <f t="shared" si="131"/>
        <v>40575.6</v>
      </c>
      <c r="CA60" s="116">
        <f t="shared" si="131"/>
        <v>40575.6</v>
      </c>
      <c r="CB60" s="116">
        <f t="shared" si="131"/>
        <v>40575.6</v>
      </c>
      <c r="CC60" s="116">
        <f t="shared" si="131"/>
        <v>40575.6</v>
      </c>
      <c r="CD60" s="116">
        <f t="shared" si="131"/>
        <v>40575.6</v>
      </c>
      <c r="CE60" s="116">
        <f t="shared" si="131"/>
        <v>40575.6</v>
      </c>
      <c r="CF60" s="116">
        <f t="shared" si="131"/>
        <v>40575.6</v>
      </c>
      <c r="CG60" s="116">
        <f t="shared" si="131"/>
        <v>40575.6</v>
      </c>
      <c r="CH60" s="116">
        <f t="shared" si="131"/>
        <v>40575.6</v>
      </c>
      <c r="CI60" s="119">
        <f t="shared" si="131"/>
        <v>40575.6</v>
      </c>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row>
    <row r="61" spans="1:114" s="52" customFormat="1" ht="12.75" customHeight="1">
      <c r="A61" s="38" t="s">
        <v>318</v>
      </c>
      <c r="B61" s="38">
        <f>SUM(B59:B60)</f>
        <v>26</v>
      </c>
      <c r="C61" s="52">
        <f>SUM(C59:C60)</f>
        <v>31</v>
      </c>
      <c r="D61" s="52">
        <f>SUM(D59:D60)</f>
        <v>36</v>
      </c>
      <c r="E61" s="248"/>
      <c r="F61" s="118"/>
      <c r="G61" s="116"/>
      <c r="H61" s="116"/>
      <c r="I61" s="116"/>
      <c r="J61" s="248"/>
      <c r="K61" s="214">
        <f>SUM(K59:K60)</f>
        <v>2028000</v>
      </c>
      <c r="L61" s="215">
        <f>SUM(L59:L60)</f>
        <v>2466360</v>
      </c>
      <c r="M61" s="215">
        <f>SUM(M59:M60)</f>
        <v>2921443.1999999993</v>
      </c>
      <c r="N61" s="248"/>
      <c r="O61" s="52">
        <f aca="true" t="shared" si="132" ref="O61:AX61">SUM(O59:O60)</f>
        <v>26</v>
      </c>
      <c r="P61" s="52">
        <f t="shared" si="132"/>
        <v>26</v>
      </c>
      <c r="Q61" s="52">
        <f t="shared" si="132"/>
        <v>26</v>
      </c>
      <c r="R61" s="52">
        <f t="shared" si="132"/>
        <v>26</v>
      </c>
      <c r="S61" s="52">
        <f t="shared" si="132"/>
        <v>26</v>
      </c>
      <c r="T61" s="52">
        <f t="shared" si="132"/>
        <v>26</v>
      </c>
      <c r="U61" s="52">
        <f t="shared" si="132"/>
        <v>26</v>
      </c>
      <c r="V61" s="52">
        <f t="shared" si="132"/>
        <v>26</v>
      </c>
      <c r="W61" s="52">
        <f t="shared" si="132"/>
        <v>26</v>
      </c>
      <c r="X61" s="52">
        <f t="shared" si="132"/>
        <v>26</v>
      </c>
      <c r="Y61" s="52">
        <f t="shared" si="132"/>
        <v>26</v>
      </c>
      <c r="Z61" s="52">
        <f t="shared" si="132"/>
        <v>26</v>
      </c>
      <c r="AA61" s="52">
        <f t="shared" si="132"/>
        <v>31</v>
      </c>
      <c r="AB61" s="52">
        <f t="shared" si="132"/>
        <v>31</v>
      </c>
      <c r="AC61" s="52">
        <f t="shared" si="132"/>
        <v>31</v>
      </c>
      <c r="AD61" s="52">
        <f t="shared" si="132"/>
        <v>31</v>
      </c>
      <c r="AE61" s="52">
        <f t="shared" si="132"/>
        <v>31</v>
      </c>
      <c r="AF61" s="52">
        <f t="shared" si="132"/>
        <v>31</v>
      </c>
      <c r="AG61" s="52">
        <f t="shared" si="132"/>
        <v>31</v>
      </c>
      <c r="AH61" s="52">
        <f t="shared" si="132"/>
        <v>31</v>
      </c>
      <c r="AI61" s="52">
        <f t="shared" si="132"/>
        <v>31</v>
      </c>
      <c r="AJ61" s="52">
        <f t="shared" si="132"/>
        <v>31</v>
      </c>
      <c r="AK61" s="52">
        <f t="shared" si="132"/>
        <v>31</v>
      </c>
      <c r="AL61" s="52">
        <f t="shared" si="132"/>
        <v>31</v>
      </c>
      <c r="AM61" s="52">
        <f t="shared" si="132"/>
        <v>36</v>
      </c>
      <c r="AN61" s="52">
        <f t="shared" si="132"/>
        <v>36</v>
      </c>
      <c r="AO61" s="52">
        <f t="shared" si="132"/>
        <v>36</v>
      </c>
      <c r="AP61" s="52">
        <f t="shared" si="132"/>
        <v>36</v>
      </c>
      <c r="AQ61" s="52">
        <f t="shared" si="132"/>
        <v>36</v>
      </c>
      <c r="AR61" s="52">
        <f t="shared" si="132"/>
        <v>36</v>
      </c>
      <c r="AS61" s="52">
        <f t="shared" si="132"/>
        <v>36</v>
      </c>
      <c r="AT61" s="52">
        <f t="shared" si="132"/>
        <v>36</v>
      </c>
      <c r="AU61" s="52">
        <f t="shared" si="132"/>
        <v>36</v>
      </c>
      <c r="AV61" s="52">
        <f t="shared" si="132"/>
        <v>36</v>
      </c>
      <c r="AW61" s="52">
        <f t="shared" si="132"/>
        <v>36</v>
      </c>
      <c r="AX61" s="52">
        <f t="shared" si="132"/>
        <v>36</v>
      </c>
      <c r="AZ61" s="116">
        <f aca="true" t="shared" si="133" ref="AZ61:CI61">SUM(AZ59:AZ60)</f>
        <v>169000</v>
      </c>
      <c r="BA61" s="116">
        <f t="shared" si="133"/>
        <v>169000</v>
      </c>
      <c r="BB61" s="116">
        <f t="shared" si="133"/>
        <v>169000</v>
      </c>
      <c r="BC61" s="116">
        <f t="shared" si="133"/>
        <v>169000</v>
      </c>
      <c r="BD61" s="116">
        <f t="shared" si="133"/>
        <v>169000</v>
      </c>
      <c r="BE61" s="116">
        <f t="shared" si="133"/>
        <v>169000</v>
      </c>
      <c r="BF61" s="116">
        <f t="shared" si="133"/>
        <v>169000</v>
      </c>
      <c r="BG61" s="116">
        <f t="shared" si="133"/>
        <v>169000</v>
      </c>
      <c r="BH61" s="116">
        <f t="shared" si="133"/>
        <v>169000</v>
      </c>
      <c r="BI61" s="116">
        <f t="shared" si="133"/>
        <v>169000</v>
      </c>
      <c r="BJ61" s="116">
        <f t="shared" si="133"/>
        <v>169000</v>
      </c>
      <c r="BK61" s="116">
        <f t="shared" si="133"/>
        <v>169000</v>
      </c>
      <c r="BL61" s="116">
        <f t="shared" si="133"/>
        <v>205530</v>
      </c>
      <c r="BM61" s="116">
        <f t="shared" si="133"/>
        <v>205530</v>
      </c>
      <c r="BN61" s="116">
        <f t="shared" si="133"/>
        <v>205530</v>
      </c>
      <c r="BO61" s="116">
        <f t="shared" si="133"/>
        <v>205530</v>
      </c>
      <c r="BP61" s="116">
        <f t="shared" si="133"/>
        <v>205530</v>
      </c>
      <c r="BQ61" s="116">
        <f t="shared" si="133"/>
        <v>205530</v>
      </c>
      <c r="BR61" s="116">
        <f t="shared" si="133"/>
        <v>205530</v>
      </c>
      <c r="BS61" s="116">
        <f t="shared" si="133"/>
        <v>205530</v>
      </c>
      <c r="BT61" s="116">
        <f t="shared" si="133"/>
        <v>205530</v>
      </c>
      <c r="BU61" s="116">
        <f t="shared" si="133"/>
        <v>205530</v>
      </c>
      <c r="BV61" s="116">
        <f t="shared" si="133"/>
        <v>205530</v>
      </c>
      <c r="BW61" s="116">
        <f t="shared" si="133"/>
        <v>205530</v>
      </c>
      <c r="BX61" s="116">
        <f t="shared" si="133"/>
        <v>243453.59999999998</v>
      </c>
      <c r="BY61" s="116">
        <f t="shared" si="133"/>
        <v>243453.59999999998</v>
      </c>
      <c r="BZ61" s="116">
        <f t="shared" si="133"/>
        <v>243453.59999999998</v>
      </c>
      <c r="CA61" s="116">
        <f t="shared" si="133"/>
        <v>243453.59999999998</v>
      </c>
      <c r="CB61" s="116">
        <f t="shared" si="133"/>
        <v>243453.59999999998</v>
      </c>
      <c r="CC61" s="116">
        <f t="shared" si="133"/>
        <v>243453.59999999998</v>
      </c>
      <c r="CD61" s="116">
        <f t="shared" si="133"/>
        <v>243453.59999999998</v>
      </c>
      <c r="CE61" s="116">
        <f t="shared" si="133"/>
        <v>243453.59999999998</v>
      </c>
      <c r="CF61" s="116">
        <f t="shared" si="133"/>
        <v>243453.59999999998</v>
      </c>
      <c r="CG61" s="116">
        <f t="shared" si="133"/>
        <v>243453.59999999998</v>
      </c>
      <c r="CH61" s="116">
        <f t="shared" si="133"/>
        <v>243453.59999999998</v>
      </c>
      <c r="CI61" s="119">
        <f t="shared" si="133"/>
        <v>243453.59999999998</v>
      </c>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row>
    <row r="62" spans="1:114" s="26" customFormat="1" ht="12.75" customHeight="1">
      <c r="A62" s="211" t="s">
        <v>196</v>
      </c>
      <c r="B62" s="32"/>
      <c r="E62" s="246"/>
      <c r="F62" s="111"/>
      <c r="G62" s="23"/>
      <c r="H62" s="23"/>
      <c r="I62" s="23"/>
      <c r="J62" s="246"/>
      <c r="K62" s="158">
        <f>K61*B5</f>
        <v>507000</v>
      </c>
      <c r="L62" s="153">
        <f>L61*C5</f>
        <v>616590</v>
      </c>
      <c r="M62" s="153">
        <f>M61*D5</f>
        <v>730360.7999999998</v>
      </c>
      <c r="N62" s="246"/>
      <c r="AZ62" s="23">
        <f>AZ61*$B$5</f>
        <v>42250</v>
      </c>
      <c r="BA62" s="23">
        <f>BA61*$B$5</f>
        <v>42250</v>
      </c>
      <c r="BB62" s="23">
        <f>BB61*$B$5</f>
        <v>42250</v>
      </c>
      <c r="BC62" s="23">
        <f>BC61*$B$5</f>
        <v>42250</v>
      </c>
      <c r="BD62" s="23">
        <f aca="true" t="shared" si="134" ref="BD62:BK62">BD61*$B$5</f>
        <v>42250</v>
      </c>
      <c r="BE62" s="23">
        <f t="shared" si="134"/>
        <v>42250</v>
      </c>
      <c r="BF62" s="23">
        <f t="shared" si="134"/>
        <v>42250</v>
      </c>
      <c r="BG62" s="23">
        <f t="shared" si="134"/>
        <v>42250</v>
      </c>
      <c r="BH62" s="23">
        <f t="shared" si="134"/>
        <v>42250</v>
      </c>
      <c r="BI62" s="23">
        <f t="shared" si="134"/>
        <v>42250</v>
      </c>
      <c r="BJ62" s="23">
        <f t="shared" si="134"/>
        <v>42250</v>
      </c>
      <c r="BK62" s="23">
        <f t="shared" si="134"/>
        <v>42250</v>
      </c>
      <c r="BL62" s="23">
        <f aca="true" t="shared" si="135" ref="BL62:BW62">BL61*$C$5</f>
        <v>51382.5</v>
      </c>
      <c r="BM62" s="23">
        <f t="shared" si="135"/>
        <v>51382.5</v>
      </c>
      <c r="BN62" s="23">
        <f t="shared" si="135"/>
        <v>51382.5</v>
      </c>
      <c r="BO62" s="23">
        <f t="shared" si="135"/>
        <v>51382.5</v>
      </c>
      <c r="BP62" s="23">
        <f t="shared" si="135"/>
        <v>51382.5</v>
      </c>
      <c r="BQ62" s="23">
        <f t="shared" si="135"/>
        <v>51382.5</v>
      </c>
      <c r="BR62" s="23">
        <f t="shared" si="135"/>
        <v>51382.5</v>
      </c>
      <c r="BS62" s="23">
        <f t="shared" si="135"/>
        <v>51382.5</v>
      </c>
      <c r="BT62" s="23">
        <f t="shared" si="135"/>
        <v>51382.5</v>
      </c>
      <c r="BU62" s="23">
        <f t="shared" si="135"/>
        <v>51382.5</v>
      </c>
      <c r="BV62" s="23">
        <f t="shared" si="135"/>
        <v>51382.5</v>
      </c>
      <c r="BW62" s="23">
        <f t="shared" si="135"/>
        <v>51382.5</v>
      </c>
      <c r="BX62" s="23">
        <f aca="true" t="shared" si="136" ref="BX62:CI62">BX61*$D$5</f>
        <v>60863.399999999994</v>
      </c>
      <c r="BY62" s="23">
        <f t="shared" si="136"/>
        <v>60863.399999999994</v>
      </c>
      <c r="BZ62" s="23">
        <f t="shared" si="136"/>
        <v>60863.399999999994</v>
      </c>
      <c r="CA62" s="23">
        <f t="shared" si="136"/>
        <v>60863.399999999994</v>
      </c>
      <c r="CB62" s="23">
        <f t="shared" si="136"/>
        <v>60863.399999999994</v>
      </c>
      <c r="CC62" s="23">
        <f t="shared" si="136"/>
        <v>60863.399999999994</v>
      </c>
      <c r="CD62" s="23">
        <f t="shared" si="136"/>
        <v>60863.399999999994</v>
      </c>
      <c r="CE62" s="23">
        <f t="shared" si="136"/>
        <v>60863.399999999994</v>
      </c>
      <c r="CF62" s="23">
        <f t="shared" si="136"/>
        <v>60863.399999999994</v>
      </c>
      <c r="CG62" s="23">
        <f t="shared" si="136"/>
        <v>60863.399999999994</v>
      </c>
      <c r="CH62" s="23">
        <f t="shared" si="136"/>
        <v>60863.399999999994</v>
      </c>
      <c r="CI62" s="112">
        <f t="shared" si="136"/>
        <v>60863.399999999994</v>
      </c>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row>
    <row r="63" spans="1:114" s="26" customFormat="1" ht="12.75" customHeight="1">
      <c r="A63" s="211" t="s">
        <v>339</v>
      </c>
      <c r="B63" s="32"/>
      <c r="E63" s="246"/>
      <c r="F63" s="111"/>
      <c r="G63" s="23"/>
      <c r="H63" s="23"/>
      <c r="I63" s="23"/>
      <c r="J63" s="246"/>
      <c r="K63" s="158">
        <f>K61+K62</f>
        <v>2535000</v>
      </c>
      <c r="L63" s="153">
        <f>L61+L62</f>
        <v>3082950</v>
      </c>
      <c r="M63" s="153">
        <f>M61+M62</f>
        <v>3651803.999999999</v>
      </c>
      <c r="N63" s="246"/>
      <c r="AZ63" s="23">
        <f>AZ61+AZ62</f>
        <v>211250</v>
      </c>
      <c r="BA63" s="23">
        <f aca="true" t="shared" si="137" ref="BA63:CI63">BA61+BA62</f>
        <v>211250</v>
      </c>
      <c r="BB63" s="23">
        <f t="shared" si="137"/>
        <v>211250</v>
      </c>
      <c r="BC63" s="23">
        <f t="shared" si="137"/>
        <v>211250</v>
      </c>
      <c r="BD63" s="23">
        <f t="shared" si="137"/>
        <v>211250</v>
      </c>
      <c r="BE63" s="23">
        <f t="shared" si="137"/>
        <v>211250</v>
      </c>
      <c r="BF63" s="23">
        <f t="shared" si="137"/>
        <v>211250</v>
      </c>
      <c r="BG63" s="23">
        <f t="shared" si="137"/>
        <v>211250</v>
      </c>
      <c r="BH63" s="23">
        <f t="shared" si="137"/>
        <v>211250</v>
      </c>
      <c r="BI63" s="23">
        <f t="shared" si="137"/>
        <v>211250</v>
      </c>
      <c r="BJ63" s="23">
        <f t="shared" si="137"/>
        <v>211250</v>
      </c>
      <c r="BK63" s="23">
        <f t="shared" si="137"/>
        <v>211250</v>
      </c>
      <c r="BL63" s="23">
        <f t="shared" si="137"/>
        <v>256912.5</v>
      </c>
      <c r="BM63" s="23">
        <f t="shared" si="137"/>
        <v>256912.5</v>
      </c>
      <c r="BN63" s="23">
        <f t="shared" si="137"/>
        <v>256912.5</v>
      </c>
      <c r="BO63" s="23">
        <f t="shared" si="137"/>
        <v>256912.5</v>
      </c>
      <c r="BP63" s="23">
        <f t="shared" si="137"/>
        <v>256912.5</v>
      </c>
      <c r="BQ63" s="23">
        <f t="shared" si="137"/>
        <v>256912.5</v>
      </c>
      <c r="BR63" s="23">
        <f t="shared" si="137"/>
        <v>256912.5</v>
      </c>
      <c r="BS63" s="23">
        <f t="shared" si="137"/>
        <v>256912.5</v>
      </c>
      <c r="BT63" s="23">
        <f t="shared" si="137"/>
        <v>256912.5</v>
      </c>
      <c r="BU63" s="23">
        <f t="shared" si="137"/>
        <v>256912.5</v>
      </c>
      <c r="BV63" s="23">
        <f t="shared" si="137"/>
        <v>256912.5</v>
      </c>
      <c r="BW63" s="23">
        <f t="shared" si="137"/>
        <v>256912.5</v>
      </c>
      <c r="BX63" s="23">
        <f t="shared" si="137"/>
        <v>304317</v>
      </c>
      <c r="BY63" s="23">
        <f t="shared" si="137"/>
        <v>304317</v>
      </c>
      <c r="BZ63" s="23">
        <f t="shared" si="137"/>
        <v>304317</v>
      </c>
      <c r="CA63" s="23">
        <f t="shared" si="137"/>
        <v>304317</v>
      </c>
      <c r="CB63" s="23">
        <f t="shared" si="137"/>
        <v>304317</v>
      </c>
      <c r="CC63" s="23">
        <f t="shared" si="137"/>
        <v>304317</v>
      </c>
      <c r="CD63" s="23">
        <f t="shared" si="137"/>
        <v>304317</v>
      </c>
      <c r="CE63" s="23">
        <f t="shared" si="137"/>
        <v>304317</v>
      </c>
      <c r="CF63" s="23">
        <f t="shared" si="137"/>
        <v>304317</v>
      </c>
      <c r="CG63" s="23">
        <f t="shared" si="137"/>
        <v>304317</v>
      </c>
      <c r="CH63" s="23">
        <f t="shared" si="137"/>
        <v>304317</v>
      </c>
      <c r="CI63" s="112">
        <f t="shared" si="137"/>
        <v>304317</v>
      </c>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row>
    <row r="64" spans="1:87" ht="12.75" customHeight="1">
      <c r="A64" s="32"/>
      <c r="B64" s="32"/>
      <c r="C64" s="26"/>
      <c r="D64" s="26"/>
      <c r="E64" s="246"/>
      <c r="F64" s="111"/>
      <c r="G64" s="23"/>
      <c r="H64" s="23"/>
      <c r="I64" s="23"/>
      <c r="J64" s="246"/>
      <c r="K64" s="32"/>
      <c r="L64" s="26"/>
      <c r="M64" s="26"/>
      <c r="N64" s="24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112"/>
    </row>
    <row r="65" spans="1:87" ht="12.75" customHeight="1">
      <c r="A65" s="162" t="s">
        <v>149</v>
      </c>
      <c r="B65" s="32"/>
      <c r="C65" s="26"/>
      <c r="D65" s="26"/>
      <c r="E65" s="246"/>
      <c r="F65" s="111"/>
      <c r="G65" s="23"/>
      <c r="H65" s="23"/>
      <c r="I65" s="23"/>
      <c r="J65" s="246"/>
      <c r="K65" s="32"/>
      <c r="L65" s="26"/>
      <c r="M65" s="26"/>
      <c r="N65" s="24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112"/>
    </row>
    <row r="66" spans="1:87" s="26" customFormat="1" ht="12.75" customHeight="1">
      <c r="A66" s="32" t="s">
        <v>146</v>
      </c>
      <c r="B66" s="234">
        <v>1</v>
      </c>
      <c r="C66" s="235">
        <v>1</v>
      </c>
      <c r="D66" s="235">
        <v>1</v>
      </c>
      <c r="E66" s="246"/>
      <c r="F66" s="238">
        <f>6500*12</f>
        <v>78000</v>
      </c>
      <c r="G66" s="23">
        <f>F66</f>
        <v>78000</v>
      </c>
      <c r="H66" s="23">
        <f>G66*(1+$C$4)</f>
        <v>79560</v>
      </c>
      <c r="I66" s="23">
        <f>H66*(1+$D$4)</f>
        <v>81151.2</v>
      </c>
      <c r="J66" s="246"/>
      <c r="K66" s="158">
        <f>SUM(AZ66:BK66)</f>
        <v>78000</v>
      </c>
      <c r="L66" s="153">
        <f>SUM(BL66:BW66)</f>
        <v>79560</v>
      </c>
      <c r="M66" s="153">
        <f>SUM(BX66:CI66)</f>
        <v>81151.20000000001</v>
      </c>
      <c r="N66" s="246"/>
      <c r="O66" s="26">
        <f>B66</f>
        <v>1</v>
      </c>
      <c r="P66" s="26">
        <f>$B$66</f>
        <v>1</v>
      </c>
      <c r="Q66" s="26">
        <f>$B$66</f>
        <v>1</v>
      </c>
      <c r="R66" s="26">
        <f>$B$66</f>
        <v>1</v>
      </c>
      <c r="S66" s="26">
        <f>$B$66</f>
        <v>1</v>
      </c>
      <c r="T66" s="26">
        <f>$B$66</f>
        <v>1</v>
      </c>
      <c r="U66" s="26">
        <f>$C$66</f>
        <v>1</v>
      </c>
      <c r="V66" s="26">
        <f aca="true" t="shared" si="138" ref="V66:AL66">$C$66</f>
        <v>1</v>
      </c>
      <c r="W66" s="26">
        <f t="shared" si="138"/>
        <v>1</v>
      </c>
      <c r="X66" s="26">
        <f t="shared" si="138"/>
        <v>1</v>
      </c>
      <c r="Y66" s="26">
        <f t="shared" si="138"/>
        <v>1</v>
      </c>
      <c r="Z66" s="26">
        <f t="shared" si="138"/>
        <v>1</v>
      </c>
      <c r="AA66" s="26">
        <f t="shared" si="138"/>
        <v>1</v>
      </c>
      <c r="AB66" s="26">
        <f t="shared" si="138"/>
        <v>1</v>
      </c>
      <c r="AC66" s="26">
        <f t="shared" si="138"/>
        <v>1</v>
      </c>
      <c r="AD66" s="26">
        <f t="shared" si="138"/>
        <v>1</v>
      </c>
      <c r="AE66" s="26">
        <f t="shared" si="138"/>
        <v>1</v>
      </c>
      <c r="AF66" s="26">
        <f t="shared" si="138"/>
        <v>1</v>
      </c>
      <c r="AG66" s="26">
        <f t="shared" si="138"/>
        <v>1</v>
      </c>
      <c r="AH66" s="26">
        <f t="shared" si="138"/>
        <v>1</v>
      </c>
      <c r="AI66" s="26">
        <f t="shared" si="138"/>
        <v>1</v>
      </c>
      <c r="AJ66" s="26">
        <f t="shared" si="138"/>
        <v>1</v>
      </c>
      <c r="AK66" s="26">
        <f t="shared" si="138"/>
        <v>1</v>
      </c>
      <c r="AL66" s="26">
        <f t="shared" si="138"/>
        <v>1</v>
      </c>
      <c r="AM66" s="26">
        <f aca="true" t="shared" si="139" ref="AM66:AX66">$D$66</f>
        <v>1</v>
      </c>
      <c r="AN66" s="26">
        <f t="shared" si="139"/>
        <v>1</v>
      </c>
      <c r="AO66" s="26">
        <f t="shared" si="139"/>
        <v>1</v>
      </c>
      <c r="AP66" s="26">
        <f t="shared" si="139"/>
        <v>1</v>
      </c>
      <c r="AQ66" s="26">
        <f t="shared" si="139"/>
        <v>1</v>
      </c>
      <c r="AR66" s="26">
        <f t="shared" si="139"/>
        <v>1</v>
      </c>
      <c r="AS66" s="26">
        <f t="shared" si="139"/>
        <v>1</v>
      </c>
      <c r="AT66" s="26">
        <f t="shared" si="139"/>
        <v>1</v>
      </c>
      <c r="AU66" s="26">
        <f t="shared" si="139"/>
        <v>1</v>
      </c>
      <c r="AV66" s="26">
        <f t="shared" si="139"/>
        <v>1</v>
      </c>
      <c r="AW66" s="26">
        <f t="shared" si="139"/>
        <v>1</v>
      </c>
      <c r="AX66" s="26">
        <f t="shared" si="139"/>
        <v>1</v>
      </c>
      <c r="AZ66" s="23">
        <f>($G$66/12)*O66</f>
        <v>6500</v>
      </c>
      <c r="BA66" s="23">
        <f>($G$66/12)*P66</f>
        <v>6500</v>
      </c>
      <c r="BB66" s="23">
        <f>($G$66/12)*Q66</f>
        <v>6500</v>
      </c>
      <c r="BC66" s="23">
        <f>($G$66/12)*R66</f>
        <v>6500</v>
      </c>
      <c r="BD66" s="23">
        <f aca="true" t="shared" si="140" ref="BD66:BK66">($G$66/12)*S66</f>
        <v>6500</v>
      </c>
      <c r="BE66" s="23">
        <f t="shared" si="140"/>
        <v>6500</v>
      </c>
      <c r="BF66" s="23">
        <f t="shared" si="140"/>
        <v>6500</v>
      </c>
      <c r="BG66" s="23">
        <f t="shared" si="140"/>
        <v>6500</v>
      </c>
      <c r="BH66" s="23">
        <f t="shared" si="140"/>
        <v>6500</v>
      </c>
      <c r="BI66" s="23">
        <f t="shared" si="140"/>
        <v>6500</v>
      </c>
      <c r="BJ66" s="23">
        <f t="shared" si="140"/>
        <v>6500</v>
      </c>
      <c r="BK66" s="23">
        <f t="shared" si="140"/>
        <v>6500</v>
      </c>
      <c r="BL66" s="23">
        <f aca="true" t="shared" si="141" ref="BL66:BW66">($H$66/12)*AA66</f>
        <v>6630</v>
      </c>
      <c r="BM66" s="23">
        <f t="shared" si="141"/>
        <v>6630</v>
      </c>
      <c r="BN66" s="23">
        <f t="shared" si="141"/>
        <v>6630</v>
      </c>
      <c r="BO66" s="23">
        <f t="shared" si="141"/>
        <v>6630</v>
      </c>
      <c r="BP66" s="23">
        <f t="shared" si="141"/>
        <v>6630</v>
      </c>
      <c r="BQ66" s="23">
        <f t="shared" si="141"/>
        <v>6630</v>
      </c>
      <c r="BR66" s="23">
        <f t="shared" si="141"/>
        <v>6630</v>
      </c>
      <c r="BS66" s="23">
        <f t="shared" si="141"/>
        <v>6630</v>
      </c>
      <c r="BT66" s="23">
        <f t="shared" si="141"/>
        <v>6630</v>
      </c>
      <c r="BU66" s="23">
        <f t="shared" si="141"/>
        <v>6630</v>
      </c>
      <c r="BV66" s="23">
        <f t="shared" si="141"/>
        <v>6630</v>
      </c>
      <c r="BW66" s="23">
        <f t="shared" si="141"/>
        <v>6630</v>
      </c>
      <c r="BX66" s="23">
        <f aca="true" t="shared" si="142" ref="BX66:CI66">($I$66/12)*AM66</f>
        <v>6762.599999999999</v>
      </c>
      <c r="BY66" s="23">
        <f t="shared" si="142"/>
        <v>6762.599999999999</v>
      </c>
      <c r="BZ66" s="23">
        <f t="shared" si="142"/>
        <v>6762.599999999999</v>
      </c>
      <c r="CA66" s="23">
        <f t="shared" si="142"/>
        <v>6762.599999999999</v>
      </c>
      <c r="CB66" s="23">
        <f t="shared" si="142"/>
        <v>6762.599999999999</v>
      </c>
      <c r="CC66" s="23">
        <f t="shared" si="142"/>
        <v>6762.599999999999</v>
      </c>
      <c r="CD66" s="23">
        <f t="shared" si="142"/>
        <v>6762.599999999999</v>
      </c>
      <c r="CE66" s="23">
        <f t="shared" si="142"/>
        <v>6762.599999999999</v>
      </c>
      <c r="CF66" s="23">
        <f t="shared" si="142"/>
        <v>6762.599999999999</v>
      </c>
      <c r="CG66" s="23">
        <f t="shared" si="142"/>
        <v>6762.599999999999</v>
      </c>
      <c r="CH66" s="23">
        <f t="shared" si="142"/>
        <v>6762.599999999999</v>
      </c>
      <c r="CI66" s="112">
        <f t="shared" si="142"/>
        <v>6762.599999999999</v>
      </c>
    </row>
    <row r="67" spans="1:87" s="52" customFormat="1" ht="12.75" customHeight="1">
      <c r="A67" s="33" t="s">
        <v>254</v>
      </c>
      <c r="B67" s="236">
        <v>5</v>
      </c>
      <c r="C67" s="237">
        <v>7</v>
      </c>
      <c r="D67" s="237">
        <v>9</v>
      </c>
      <c r="E67" s="248"/>
      <c r="F67" s="239">
        <f>6500*12</f>
        <v>78000</v>
      </c>
      <c r="G67" s="116">
        <f>F67</f>
        <v>78000</v>
      </c>
      <c r="H67" s="116">
        <f>G67*(1+$C$4)</f>
        <v>79560</v>
      </c>
      <c r="I67" s="116">
        <f>H67*(1+$D$4)</f>
        <v>81151.2</v>
      </c>
      <c r="J67" s="248"/>
      <c r="K67" s="214">
        <f>SUM(AZ67:BK67)</f>
        <v>390000</v>
      </c>
      <c r="L67" s="215">
        <f>SUM(BL67:BW67)</f>
        <v>556920</v>
      </c>
      <c r="M67" s="215">
        <f>SUM(BX67:CI67)</f>
        <v>730360.8000000002</v>
      </c>
      <c r="N67" s="248"/>
      <c r="O67" s="52">
        <f>B67</f>
        <v>5</v>
      </c>
      <c r="P67" s="52">
        <f>$B$67</f>
        <v>5</v>
      </c>
      <c r="Q67" s="52">
        <f aca="true" t="shared" si="143" ref="Q67:Z67">$B$67</f>
        <v>5</v>
      </c>
      <c r="R67" s="52">
        <f t="shared" si="143"/>
        <v>5</v>
      </c>
      <c r="S67" s="52">
        <f t="shared" si="143"/>
        <v>5</v>
      </c>
      <c r="T67" s="52">
        <f t="shared" si="143"/>
        <v>5</v>
      </c>
      <c r="U67" s="52">
        <f t="shared" si="143"/>
        <v>5</v>
      </c>
      <c r="V67" s="52">
        <f t="shared" si="143"/>
        <v>5</v>
      </c>
      <c r="W67" s="52">
        <f t="shared" si="143"/>
        <v>5</v>
      </c>
      <c r="X67" s="52">
        <f t="shared" si="143"/>
        <v>5</v>
      </c>
      <c r="Y67" s="52">
        <f t="shared" si="143"/>
        <v>5</v>
      </c>
      <c r="Z67" s="52">
        <f t="shared" si="143"/>
        <v>5</v>
      </c>
      <c r="AA67" s="52">
        <f>$C$67</f>
        <v>7</v>
      </c>
      <c r="AB67" s="52">
        <f aca="true" t="shared" si="144" ref="AB67:AL67">$C$67</f>
        <v>7</v>
      </c>
      <c r="AC67" s="52">
        <f t="shared" si="144"/>
        <v>7</v>
      </c>
      <c r="AD67" s="52">
        <f t="shared" si="144"/>
        <v>7</v>
      </c>
      <c r="AE67" s="52">
        <f t="shared" si="144"/>
        <v>7</v>
      </c>
      <c r="AF67" s="52">
        <f t="shared" si="144"/>
        <v>7</v>
      </c>
      <c r="AG67" s="52">
        <f t="shared" si="144"/>
        <v>7</v>
      </c>
      <c r="AH67" s="52">
        <f t="shared" si="144"/>
        <v>7</v>
      </c>
      <c r="AI67" s="52">
        <f t="shared" si="144"/>
        <v>7</v>
      </c>
      <c r="AJ67" s="52">
        <f t="shared" si="144"/>
        <v>7</v>
      </c>
      <c r="AK67" s="52">
        <f t="shared" si="144"/>
        <v>7</v>
      </c>
      <c r="AL67" s="52">
        <f t="shared" si="144"/>
        <v>7</v>
      </c>
      <c r="AM67" s="52">
        <f>$D$67</f>
        <v>9</v>
      </c>
      <c r="AN67" s="52">
        <f aca="true" t="shared" si="145" ref="AN67:AX67">$D$67</f>
        <v>9</v>
      </c>
      <c r="AO67" s="52">
        <f t="shared" si="145"/>
        <v>9</v>
      </c>
      <c r="AP67" s="52">
        <f t="shared" si="145"/>
        <v>9</v>
      </c>
      <c r="AQ67" s="52">
        <f t="shared" si="145"/>
        <v>9</v>
      </c>
      <c r="AR67" s="52">
        <f t="shared" si="145"/>
        <v>9</v>
      </c>
      <c r="AS67" s="52">
        <f t="shared" si="145"/>
        <v>9</v>
      </c>
      <c r="AT67" s="52">
        <f t="shared" si="145"/>
        <v>9</v>
      </c>
      <c r="AU67" s="52">
        <f t="shared" si="145"/>
        <v>9</v>
      </c>
      <c r="AV67" s="52">
        <f t="shared" si="145"/>
        <v>9</v>
      </c>
      <c r="AW67" s="52">
        <f t="shared" si="145"/>
        <v>9</v>
      </c>
      <c r="AX67" s="52">
        <f t="shared" si="145"/>
        <v>9</v>
      </c>
      <c r="AZ67" s="116">
        <f>($G$67/12)*O67</f>
        <v>32500</v>
      </c>
      <c r="BA67" s="116">
        <f aca="true" t="shared" si="146" ref="BA67:BK67">($G$67/12)*P67</f>
        <v>32500</v>
      </c>
      <c r="BB67" s="116">
        <f t="shared" si="146"/>
        <v>32500</v>
      </c>
      <c r="BC67" s="116">
        <f t="shared" si="146"/>
        <v>32500</v>
      </c>
      <c r="BD67" s="116">
        <f t="shared" si="146"/>
        <v>32500</v>
      </c>
      <c r="BE67" s="116">
        <f t="shared" si="146"/>
        <v>32500</v>
      </c>
      <c r="BF67" s="116">
        <f t="shared" si="146"/>
        <v>32500</v>
      </c>
      <c r="BG67" s="116">
        <f t="shared" si="146"/>
        <v>32500</v>
      </c>
      <c r="BH67" s="116">
        <f t="shared" si="146"/>
        <v>32500</v>
      </c>
      <c r="BI67" s="116">
        <f t="shared" si="146"/>
        <v>32500</v>
      </c>
      <c r="BJ67" s="116">
        <f t="shared" si="146"/>
        <v>32500</v>
      </c>
      <c r="BK67" s="116">
        <f t="shared" si="146"/>
        <v>32500</v>
      </c>
      <c r="BL67" s="116">
        <f>($H$67/12)*AA67</f>
        <v>46410</v>
      </c>
      <c r="BM67" s="116">
        <f aca="true" t="shared" si="147" ref="BM67:BW67">($H$67/12)*AB67</f>
        <v>46410</v>
      </c>
      <c r="BN67" s="116">
        <f t="shared" si="147"/>
        <v>46410</v>
      </c>
      <c r="BO67" s="116">
        <f t="shared" si="147"/>
        <v>46410</v>
      </c>
      <c r="BP67" s="116">
        <f t="shared" si="147"/>
        <v>46410</v>
      </c>
      <c r="BQ67" s="116">
        <f t="shared" si="147"/>
        <v>46410</v>
      </c>
      <c r="BR67" s="116">
        <f t="shared" si="147"/>
        <v>46410</v>
      </c>
      <c r="BS67" s="116">
        <f t="shared" si="147"/>
        <v>46410</v>
      </c>
      <c r="BT67" s="116">
        <f t="shared" si="147"/>
        <v>46410</v>
      </c>
      <c r="BU67" s="116">
        <f t="shared" si="147"/>
        <v>46410</v>
      </c>
      <c r="BV67" s="116">
        <f t="shared" si="147"/>
        <v>46410</v>
      </c>
      <c r="BW67" s="116">
        <f t="shared" si="147"/>
        <v>46410</v>
      </c>
      <c r="BX67" s="116">
        <f>($I$67/12)*AM67</f>
        <v>60863.399999999994</v>
      </c>
      <c r="BY67" s="116">
        <f aca="true" t="shared" si="148" ref="BY67:CI67">($I$67/12)*AN67</f>
        <v>60863.399999999994</v>
      </c>
      <c r="BZ67" s="116">
        <f t="shared" si="148"/>
        <v>60863.399999999994</v>
      </c>
      <c r="CA67" s="116">
        <f t="shared" si="148"/>
        <v>60863.399999999994</v>
      </c>
      <c r="CB67" s="116">
        <f t="shared" si="148"/>
        <v>60863.399999999994</v>
      </c>
      <c r="CC67" s="116">
        <f t="shared" si="148"/>
        <v>60863.399999999994</v>
      </c>
      <c r="CD67" s="116">
        <f t="shared" si="148"/>
        <v>60863.399999999994</v>
      </c>
      <c r="CE67" s="116">
        <f t="shared" si="148"/>
        <v>60863.399999999994</v>
      </c>
      <c r="CF67" s="116">
        <f t="shared" si="148"/>
        <v>60863.399999999994</v>
      </c>
      <c r="CG67" s="116">
        <f t="shared" si="148"/>
        <v>60863.399999999994</v>
      </c>
      <c r="CH67" s="116">
        <f t="shared" si="148"/>
        <v>60863.399999999994</v>
      </c>
      <c r="CI67" s="119">
        <f t="shared" si="148"/>
        <v>60863.399999999994</v>
      </c>
    </row>
    <row r="68" spans="1:114" s="52" customFormat="1" ht="12.75" customHeight="1">
      <c r="A68" s="38" t="s">
        <v>316</v>
      </c>
      <c r="B68" s="38">
        <f>SUM(B66:B67)</f>
        <v>6</v>
      </c>
      <c r="C68" s="52">
        <f>SUM(C66:C67)</f>
        <v>8</v>
      </c>
      <c r="D68" s="52">
        <f>SUM(D66:D67)</f>
        <v>10</v>
      </c>
      <c r="E68" s="248"/>
      <c r="F68" s="118"/>
      <c r="G68" s="116"/>
      <c r="H68" s="116"/>
      <c r="I68" s="116"/>
      <c r="J68" s="248"/>
      <c r="K68" s="214">
        <f>SUM(K66:K67)</f>
        <v>468000</v>
      </c>
      <c r="L68" s="215">
        <f>SUM(L66:L67)</f>
        <v>636480</v>
      </c>
      <c r="M68" s="215">
        <f>SUM(M66:M67)</f>
        <v>811512.0000000002</v>
      </c>
      <c r="N68" s="248"/>
      <c r="O68" s="52">
        <f aca="true" t="shared" si="149" ref="O68:AW68">SUM(O66:O67)</f>
        <v>6</v>
      </c>
      <c r="P68" s="52">
        <f t="shared" si="149"/>
        <v>6</v>
      </c>
      <c r="Q68" s="52">
        <f t="shared" si="149"/>
        <v>6</v>
      </c>
      <c r="R68" s="52">
        <f t="shared" si="149"/>
        <v>6</v>
      </c>
      <c r="S68" s="52">
        <f t="shared" si="149"/>
        <v>6</v>
      </c>
      <c r="T68" s="52">
        <f t="shared" si="149"/>
        <v>6</v>
      </c>
      <c r="U68" s="52">
        <f t="shared" si="149"/>
        <v>6</v>
      </c>
      <c r="V68" s="52">
        <f t="shared" si="149"/>
        <v>6</v>
      </c>
      <c r="W68" s="52">
        <f t="shared" si="149"/>
        <v>6</v>
      </c>
      <c r="X68" s="52">
        <f t="shared" si="149"/>
        <v>6</v>
      </c>
      <c r="Y68" s="52">
        <f t="shared" si="149"/>
        <v>6</v>
      </c>
      <c r="Z68" s="52">
        <f t="shared" si="149"/>
        <v>6</v>
      </c>
      <c r="AA68" s="52">
        <f t="shared" si="149"/>
        <v>8</v>
      </c>
      <c r="AB68" s="52">
        <f t="shared" si="149"/>
        <v>8</v>
      </c>
      <c r="AC68" s="52">
        <f t="shared" si="149"/>
        <v>8</v>
      </c>
      <c r="AD68" s="52">
        <f t="shared" si="149"/>
        <v>8</v>
      </c>
      <c r="AE68" s="52">
        <f t="shared" si="149"/>
        <v>8</v>
      </c>
      <c r="AF68" s="52">
        <f t="shared" si="149"/>
        <v>8</v>
      </c>
      <c r="AG68" s="52">
        <f t="shared" si="149"/>
        <v>8</v>
      </c>
      <c r="AH68" s="52">
        <f t="shared" si="149"/>
        <v>8</v>
      </c>
      <c r="AI68" s="52">
        <f t="shared" si="149"/>
        <v>8</v>
      </c>
      <c r="AJ68" s="52">
        <f t="shared" si="149"/>
        <v>8</v>
      </c>
      <c r="AK68" s="52">
        <f t="shared" si="149"/>
        <v>8</v>
      </c>
      <c r="AL68" s="52">
        <f t="shared" si="149"/>
        <v>8</v>
      </c>
      <c r="AM68" s="52">
        <f t="shared" si="149"/>
        <v>10</v>
      </c>
      <c r="AN68" s="52">
        <f t="shared" si="149"/>
        <v>10</v>
      </c>
      <c r="AO68" s="52">
        <f t="shared" si="149"/>
        <v>10</v>
      </c>
      <c r="AP68" s="52">
        <f t="shared" si="149"/>
        <v>10</v>
      </c>
      <c r="AQ68" s="52">
        <f t="shared" si="149"/>
        <v>10</v>
      </c>
      <c r="AR68" s="52">
        <f t="shared" si="149"/>
        <v>10</v>
      </c>
      <c r="AS68" s="52">
        <f t="shared" si="149"/>
        <v>10</v>
      </c>
      <c r="AT68" s="52">
        <f t="shared" si="149"/>
        <v>10</v>
      </c>
      <c r="AU68" s="52">
        <f t="shared" si="149"/>
        <v>10</v>
      </c>
      <c r="AV68" s="52">
        <f t="shared" si="149"/>
        <v>10</v>
      </c>
      <c r="AW68" s="52">
        <f t="shared" si="149"/>
        <v>10</v>
      </c>
      <c r="AX68" s="52">
        <f>SUM(AX66:AX67)</f>
        <v>10</v>
      </c>
      <c r="AZ68" s="116">
        <f>SUM(AZ66:AZ67)</f>
        <v>39000</v>
      </c>
      <c r="BA68" s="116">
        <f aca="true" t="shared" si="150" ref="BA68:CI68">SUM(BA66:BA67)</f>
        <v>39000</v>
      </c>
      <c r="BB68" s="116">
        <f t="shared" si="150"/>
        <v>39000</v>
      </c>
      <c r="BC68" s="116">
        <f t="shared" si="150"/>
        <v>39000</v>
      </c>
      <c r="BD68" s="116">
        <f t="shared" si="150"/>
        <v>39000</v>
      </c>
      <c r="BE68" s="116">
        <f t="shared" si="150"/>
        <v>39000</v>
      </c>
      <c r="BF68" s="116">
        <f t="shared" si="150"/>
        <v>39000</v>
      </c>
      <c r="BG68" s="116">
        <f t="shared" si="150"/>
        <v>39000</v>
      </c>
      <c r="BH68" s="116">
        <f t="shared" si="150"/>
        <v>39000</v>
      </c>
      <c r="BI68" s="116">
        <f t="shared" si="150"/>
        <v>39000</v>
      </c>
      <c r="BJ68" s="116">
        <f t="shared" si="150"/>
        <v>39000</v>
      </c>
      <c r="BK68" s="116">
        <f t="shared" si="150"/>
        <v>39000</v>
      </c>
      <c r="BL68" s="116">
        <f t="shared" si="150"/>
        <v>53040</v>
      </c>
      <c r="BM68" s="116">
        <f t="shared" si="150"/>
        <v>53040</v>
      </c>
      <c r="BN68" s="116">
        <f t="shared" si="150"/>
        <v>53040</v>
      </c>
      <c r="BO68" s="116">
        <f t="shared" si="150"/>
        <v>53040</v>
      </c>
      <c r="BP68" s="116">
        <f t="shared" si="150"/>
        <v>53040</v>
      </c>
      <c r="BQ68" s="116">
        <f t="shared" si="150"/>
        <v>53040</v>
      </c>
      <c r="BR68" s="116">
        <f t="shared" si="150"/>
        <v>53040</v>
      </c>
      <c r="BS68" s="116">
        <f t="shared" si="150"/>
        <v>53040</v>
      </c>
      <c r="BT68" s="116">
        <f t="shared" si="150"/>
        <v>53040</v>
      </c>
      <c r="BU68" s="116">
        <f t="shared" si="150"/>
        <v>53040</v>
      </c>
      <c r="BV68" s="116">
        <f t="shared" si="150"/>
        <v>53040</v>
      </c>
      <c r="BW68" s="116">
        <f t="shared" si="150"/>
        <v>53040</v>
      </c>
      <c r="BX68" s="116">
        <f t="shared" si="150"/>
        <v>67626</v>
      </c>
      <c r="BY68" s="116">
        <f t="shared" si="150"/>
        <v>67626</v>
      </c>
      <c r="BZ68" s="116">
        <f t="shared" si="150"/>
        <v>67626</v>
      </c>
      <c r="CA68" s="116">
        <f t="shared" si="150"/>
        <v>67626</v>
      </c>
      <c r="CB68" s="116">
        <f t="shared" si="150"/>
        <v>67626</v>
      </c>
      <c r="CC68" s="116">
        <f t="shared" si="150"/>
        <v>67626</v>
      </c>
      <c r="CD68" s="116">
        <f t="shared" si="150"/>
        <v>67626</v>
      </c>
      <c r="CE68" s="116">
        <f t="shared" si="150"/>
        <v>67626</v>
      </c>
      <c r="CF68" s="116">
        <f t="shared" si="150"/>
        <v>67626</v>
      </c>
      <c r="CG68" s="116">
        <f t="shared" si="150"/>
        <v>67626</v>
      </c>
      <c r="CH68" s="116">
        <f t="shared" si="150"/>
        <v>67626</v>
      </c>
      <c r="CI68" s="119">
        <f t="shared" si="150"/>
        <v>67626</v>
      </c>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row>
    <row r="69" spans="1:87" ht="12.75" customHeight="1">
      <c r="A69" s="32" t="s">
        <v>196</v>
      </c>
      <c r="B69" s="32"/>
      <c r="C69" s="26"/>
      <c r="D69" s="26"/>
      <c r="E69" s="246"/>
      <c r="F69" s="111"/>
      <c r="G69" s="23"/>
      <c r="H69" s="23"/>
      <c r="I69" s="23"/>
      <c r="J69" s="246"/>
      <c r="K69" s="158">
        <f>K68*B5</f>
        <v>117000</v>
      </c>
      <c r="L69" s="153">
        <f>L68*C5</f>
        <v>159120</v>
      </c>
      <c r="M69" s="153">
        <f>M68*D5</f>
        <v>202878.00000000006</v>
      </c>
      <c r="N69" s="24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3">
        <f>AZ68*$B$5</f>
        <v>9750</v>
      </c>
      <c r="BA69" s="23">
        <f>BA68*$B$5</f>
        <v>9750</v>
      </c>
      <c r="BB69" s="23">
        <f>BB68*$B$5</f>
        <v>9750</v>
      </c>
      <c r="BC69" s="23">
        <f>BC68*$B$5</f>
        <v>9750</v>
      </c>
      <c r="BD69" s="23">
        <f aca="true" t="shared" si="151" ref="BD69:BK69">BD68*$B$5</f>
        <v>9750</v>
      </c>
      <c r="BE69" s="23">
        <f t="shared" si="151"/>
        <v>9750</v>
      </c>
      <c r="BF69" s="23">
        <f t="shared" si="151"/>
        <v>9750</v>
      </c>
      <c r="BG69" s="23">
        <f t="shared" si="151"/>
        <v>9750</v>
      </c>
      <c r="BH69" s="23">
        <f t="shared" si="151"/>
        <v>9750</v>
      </c>
      <c r="BI69" s="23">
        <f t="shared" si="151"/>
        <v>9750</v>
      </c>
      <c r="BJ69" s="23">
        <f t="shared" si="151"/>
        <v>9750</v>
      </c>
      <c r="BK69" s="23">
        <f t="shared" si="151"/>
        <v>9750</v>
      </c>
      <c r="BL69" s="23">
        <f aca="true" t="shared" si="152" ref="BL69:BW69">BL68*$C$5</f>
        <v>13260</v>
      </c>
      <c r="BM69" s="23">
        <f t="shared" si="152"/>
        <v>13260</v>
      </c>
      <c r="BN69" s="23">
        <f t="shared" si="152"/>
        <v>13260</v>
      </c>
      <c r="BO69" s="23">
        <f t="shared" si="152"/>
        <v>13260</v>
      </c>
      <c r="BP69" s="23">
        <f t="shared" si="152"/>
        <v>13260</v>
      </c>
      <c r="BQ69" s="23">
        <f t="shared" si="152"/>
        <v>13260</v>
      </c>
      <c r="BR69" s="23">
        <f t="shared" si="152"/>
        <v>13260</v>
      </c>
      <c r="BS69" s="23">
        <f t="shared" si="152"/>
        <v>13260</v>
      </c>
      <c r="BT69" s="23">
        <f t="shared" si="152"/>
        <v>13260</v>
      </c>
      <c r="BU69" s="23">
        <f t="shared" si="152"/>
        <v>13260</v>
      </c>
      <c r="BV69" s="23">
        <f t="shared" si="152"/>
        <v>13260</v>
      </c>
      <c r="BW69" s="23">
        <f t="shared" si="152"/>
        <v>13260</v>
      </c>
      <c r="BX69" s="23">
        <f aca="true" t="shared" si="153" ref="BX69:CI69">BX68*$D$5</f>
        <v>16906.5</v>
      </c>
      <c r="BY69" s="23">
        <f t="shared" si="153"/>
        <v>16906.5</v>
      </c>
      <c r="BZ69" s="23">
        <f t="shared" si="153"/>
        <v>16906.5</v>
      </c>
      <c r="CA69" s="23">
        <f t="shared" si="153"/>
        <v>16906.5</v>
      </c>
      <c r="CB69" s="23">
        <f t="shared" si="153"/>
        <v>16906.5</v>
      </c>
      <c r="CC69" s="23">
        <f t="shared" si="153"/>
        <v>16906.5</v>
      </c>
      <c r="CD69" s="23">
        <f t="shared" si="153"/>
        <v>16906.5</v>
      </c>
      <c r="CE69" s="23">
        <f t="shared" si="153"/>
        <v>16906.5</v>
      </c>
      <c r="CF69" s="23">
        <f t="shared" si="153"/>
        <v>16906.5</v>
      </c>
      <c r="CG69" s="23">
        <f t="shared" si="153"/>
        <v>16906.5</v>
      </c>
      <c r="CH69" s="23">
        <f t="shared" si="153"/>
        <v>16906.5</v>
      </c>
      <c r="CI69" s="112">
        <f t="shared" si="153"/>
        <v>16906.5</v>
      </c>
    </row>
    <row r="70" spans="1:87" ht="12.75" customHeight="1">
      <c r="A70" s="32" t="s">
        <v>153</v>
      </c>
      <c r="B70" s="32"/>
      <c r="C70" s="26"/>
      <c r="D70" s="26"/>
      <c r="E70" s="246"/>
      <c r="F70" s="111"/>
      <c r="G70" s="23"/>
      <c r="H70" s="23"/>
      <c r="I70" s="23"/>
      <c r="J70" s="246"/>
      <c r="K70" s="158">
        <f>K68+K69</f>
        <v>585000</v>
      </c>
      <c r="L70" s="153">
        <f>L68+L69</f>
        <v>795600</v>
      </c>
      <c r="M70" s="153">
        <f>M68+M69</f>
        <v>1014390.0000000002</v>
      </c>
      <c r="N70" s="24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3">
        <f>AZ68+AZ69</f>
        <v>48750</v>
      </c>
      <c r="BA70" s="23">
        <f aca="true" t="shared" si="154" ref="BA70:CI70">BA68+BA69</f>
        <v>48750</v>
      </c>
      <c r="BB70" s="23">
        <f t="shared" si="154"/>
        <v>48750</v>
      </c>
      <c r="BC70" s="23">
        <f t="shared" si="154"/>
        <v>48750</v>
      </c>
      <c r="BD70" s="23">
        <f t="shared" si="154"/>
        <v>48750</v>
      </c>
      <c r="BE70" s="23">
        <f t="shared" si="154"/>
        <v>48750</v>
      </c>
      <c r="BF70" s="23">
        <f t="shared" si="154"/>
        <v>48750</v>
      </c>
      <c r="BG70" s="23">
        <f t="shared" si="154"/>
        <v>48750</v>
      </c>
      <c r="BH70" s="23">
        <f t="shared" si="154"/>
        <v>48750</v>
      </c>
      <c r="BI70" s="23">
        <f t="shared" si="154"/>
        <v>48750</v>
      </c>
      <c r="BJ70" s="23">
        <f t="shared" si="154"/>
        <v>48750</v>
      </c>
      <c r="BK70" s="23">
        <f t="shared" si="154"/>
        <v>48750</v>
      </c>
      <c r="BL70" s="23">
        <f t="shared" si="154"/>
        <v>66300</v>
      </c>
      <c r="BM70" s="23">
        <f t="shared" si="154"/>
        <v>66300</v>
      </c>
      <c r="BN70" s="23">
        <f t="shared" si="154"/>
        <v>66300</v>
      </c>
      <c r="BO70" s="23">
        <f t="shared" si="154"/>
        <v>66300</v>
      </c>
      <c r="BP70" s="23">
        <f t="shared" si="154"/>
        <v>66300</v>
      </c>
      <c r="BQ70" s="23">
        <f t="shared" si="154"/>
        <v>66300</v>
      </c>
      <c r="BR70" s="23">
        <f t="shared" si="154"/>
        <v>66300</v>
      </c>
      <c r="BS70" s="23">
        <f t="shared" si="154"/>
        <v>66300</v>
      </c>
      <c r="BT70" s="23">
        <f t="shared" si="154"/>
        <v>66300</v>
      </c>
      <c r="BU70" s="23">
        <f t="shared" si="154"/>
        <v>66300</v>
      </c>
      <c r="BV70" s="23">
        <f t="shared" si="154"/>
        <v>66300</v>
      </c>
      <c r="BW70" s="23">
        <f t="shared" si="154"/>
        <v>66300</v>
      </c>
      <c r="BX70" s="23">
        <f t="shared" si="154"/>
        <v>84532.5</v>
      </c>
      <c r="BY70" s="23">
        <f t="shared" si="154"/>
        <v>84532.5</v>
      </c>
      <c r="BZ70" s="23">
        <f t="shared" si="154"/>
        <v>84532.5</v>
      </c>
      <c r="CA70" s="23">
        <f t="shared" si="154"/>
        <v>84532.5</v>
      </c>
      <c r="CB70" s="23">
        <f t="shared" si="154"/>
        <v>84532.5</v>
      </c>
      <c r="CC70" s="23">
        <f t="shared" si="154"/>
        <v>84532.5</v>
      </c>
      <c r="CD70" s="23">
        <f t="shared" si="154"/>
        <v>84532.5</v>
      </c>
      <c r="CE70" s="23">
        <f t="shared" si="154"/>
        <v>84532.5</v>
      </c>
      <c r="CF70" s="23">
        <f t="shared" si="154"/>
        <v>84532.5</v>
      </c>
      <c r="CG70" s="23">
        <f t="shared" si="154"/>
        <v>84532.5</v>
      </c>
      <c r="CH70" s="23">
        <f t="shared" si="154"/>
        <v>84532.5</v>
      </c>
      <c r="CI70" s="112">
        <f t="shared" si="154"/>
        <v>84532.5</v>
      </c>
    </row>
    <row r="71" spans="1:87" ht="12.75" customHeight="1">
      <c r="A71" s="32"/>
      <c r="B71" s="32"/>
      <c r="C71" s="26"/>
      <c r="D71" s="26"/>
      <c r="E71" s="246"/>
      <c r="F71" s="111"/>
      <c r="G71" s="23"/>
      <c r="H71" s="23"/>
      <c r="I71" s="23"/>
      <c r="J71" s="246"/>
      <c r="K71" s="179">
        <f>K70/'Income Statement'!B16</f>
        <v>0.29419233365746106</v>
      </c>
      <c r="L71" s="17">
        <f>L70/'Income Statement'!C16</f>
        <v>0.137470506235985</v>
      </c>
      <c r="M71" s="17">
        <f>M70/'Income Statement'!D16</f>
        <v>0.10171407758570439</v>
      </c>
      <c r="N71" s="24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112"/>
    </row>
    <row r="72" spans="1:87" ht="12.75" customHeight="1">
      <c r="A72" s="162" t="s">
        <v>255</v>
      </c>
      <c r="B72" s="32"/>
      <c r="C72" s="26"/>
      <c r="D72" s="26"/>
      <c r="E72" s="246"/>
      <c r="F72" s="111"/>
      <c r="G72" s="23"/>
      <c r="H72" s="23"/>
      <c r="I72" s="23"/>
      <c r="J72" s="246"/>
      <c r="K72" s="32"/>
      <c r="L72" s="26"/>
      <c r="M72" s="26"/>
      <c r="N72" s="24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112"/>
    </row>
    <row r="73" spans="1:87" s="26" customFormat="1" ht="12.75" customHeight="1">
      <c r="A73" s="32" t="s">
        <v>256</v>
      </c>
      <c r="B73" s="234">
        <v>1</v>
      </c>
      <c r="C73" s="235">
        <v>1</v>
      </c>
      <c r="D73" s="235">
        <v>1</v>
      </c>
      <c r="E73" s="246"/>
      <c r="F73" s="238">
        <f>6500*12</f>
        <v>78000</v>
      </c>
      <c r="G73" s="23">
        <f>F73</f>
        <v>78000</v>
      </c>
      <c r="H73" s="23">
        <f>G73*(1+$C$4)</f>
        <v>79560</v>
      </c>
      <c r="I73" s="23">
        <f>H73*(1+$D$4)</f>
        <v>81151.2</v>
      </c>
      <c r="J73" s="246"/>
      <c r="K73" s="158">
        <f>SUM(AZ73:BK73)</f>
        <v>78000</v>
      </c>
      <c r="L73" s="153">
        <f>SUM(BL73:BW73)</f>
        <v>79560</v>
      </c>
      <c r="M73" s="153">
        <f>SUM(BX73:CI73)</f>
        <v>81151.20000000001</v>
      </c>
      <c r="N73" s="246"/>
      <c r="O73" s="26">
        <f>$B$73</f>
        <v>1</v>
      </c>
      <c r="P73" s="26">
        <f aca="true" t="shared" si="155" ref="P73:Z73">$B$73</f>
        <v>1</v>
      </c>
      <c r="Q73" s="26">
        <f t="shared" si="155"/>
        <v>1</v>
      </c>
      <c r="R73" s="26">
        <f t="shared" si="155"/>
        <v>1</v>
      </c>
      <c r="S73" s="26">
        <f t="shared" si="155"/>
        <v>1</v>
      </c>
      <c r="T73" s="26">
        <f t="shared" si="155"/>
        <v>1</v>
      </c>
      <c r="U73" s="26">
        <f t="shared" si="155"/>
        <v>1</v>
      </c>
      <c r="V73" s="26">
        <f t="shared" si="155"/>
        <v>1</v>
      </c>
      <c r="W73" s="26">
        <f t="shared" si="155"/>
        <v>1</v>
      </c>
      <c r="X73" s="26">
        <f t="shared" si="155"/>
        <v>1</v>
      </c>
      <c r="Y73" s="26">
        <f t="shared" si="155"/>
        <v>1</v>
      </c>
      <c r="Z73" s="26">
        <f t="shared" si="155"/>
        <v>1</v>
      </c>
      <c r="AA73" s="26">
        <f>$C$73</f>
        <v>1</v>
      </c>
      <c r="AB73" s="26">
        <f aca="true" t="shared" si="156" ref="AB73:AL73">$C$73</f>
        <v>1</v>
      </c>
      <c r="AC73" s="26">
        <f t="shared" si="156"/>
        <v>1</v>
      </c>
      <c r="AD73" s="26">
        <f t="shared" si="156"/>
        <v>1</v>
      </c>
      <c r="AE73" s="26">
        <f t="shared" si="156"/>
        <v>1</v>
      </c>
      <c r="AF73" s="26">
        <f t="shared" si="156"/>
        <v>1</v>
      </c>
      <c r="AG73" s="26">
        <f t="shared" si="156"/>
        <v>1</v>
      </c>
      <c r="AH73" s="26">
        <f t="shared" si="156"/>
        <v>1</v>
      </c>
      <c r="AI73" s="26">
        <f t="shared" si="156"/>
        <v>1</v>
      </c>
      <c r="AJ73" s="26">
        <f t="shared" si="156"/>
        <v>1</v>
      </c>
      <c r="AK73" s="26">
        <f t="shared" si="156"/>
        <v>1</v>
      </c>
      <c r="AL73" s="26">
        <f t="shared" si="156"/>
        <v>1</v>
      </c>
      <c r="AM73" s="26">
        <f>$D$73</f>
        <v>1</v>
      </c>
      <c r="AN73" s="26">
        <f aca="true" t="shared" si="157" ref="AN73:AX73">$D$73</f>
        <v>1</v>
      </c>
      <c r="AO73" s="26">
        <f t="shared" si="157"/>
        <v>1</v>
      </c>
      <c r="AP73" s="26">
        <f t="shared" si="157"/>
        <v>1</v>
      </c>
      <c r="AQ73" s="26">
        <f t="shared" si="157"/>
        <v>1</v>
      </c>
      <c r="AR73" s="26">
        <f t="shared" si="157"/>
        <v>1</v>
      </c>
      <c r="AS73" s="26">
        <f t="shared" si="157"/>
        <v>1</v>
      </c>
      <c r="AT73" s="26">
        <f t="shared" si="157"/>
        <v>1</v>
      </c>
      <c r="AU73" s="26">
        <f t="shared" si="157"/>
        <v>1</v>
      </c>
      <c r="AV73" s="26">
        <f t="shared" si="157"/>
        <v>1</v>
      </c>
      <c r="AW73" s="26">
        <f t="shared" si="157"/>
        <v>1</v>
      </c>
      <c r="AX73" s="26">
        <f t="shared" si="157"/>
        <v>1</v>
      </c>
      <c r="AZ73" s="23">
        <f>($G$73/12)*O73</f>
        <v>6500</v>
      </c>
      <c r="BA73" s="23">
        <f aca="true" t="shared" si="158" ref="BA73:BK73">($G$73/12)*P73</f>
        <v>6500</v>
      </c>
      <c r="BB73" s="23">
        <f t="shared" si="158"/>
        <v>6500</v>
      </c>
      <c r="BC73" s="23">
        <f t="shared" si="158"/>
        <v>6500</v>
      </c>
      <c r="BD73" s="23">
        <f t="shared" si="158"/>
        <v>6500</v>
      </c>
      <c r="BE73" s="23">
        <f t="shared" si="158"/>
        <v>6500</v>
      </c>
      <c r="BF73" s="23">
        <f t="shared" si="158"/>
        <v>6500</v>
      </c>
      <c r="BG73" s="23">
        <f t="shared" si="158"/>
        <v>6500</v>
      </c>
      <c r="BH73" s="23">
        <f t="shared" si="158"/>
        <v>6500</v>
      </c>
      <c r="BI73" s="23">
        <f t="shared" si="158"/>
        <v>6500</v>
      </c>
      <c r="BJ73" s="23">
        <f t="shared" si="158"/>
        <v>6500</v>
      </c>
      <c r="BK73" s="23">
        <f t="shared" si="158"/>
        <v>6500</v>
      </c>
      <c r="BL73" s="23">
        <f>($H$73/12)*AA73</f>
        <v>6630</v>
      </c>
      <c r="BM73" s="23">
        <f aca="true" t="shared" si="159" ref="BM73:BW73">($H$73/12)*AB73</f>
        <v>6630</v>
      </c>
      <c r="BN73" s="23">
        <f t="shared" si="159"/>
        <v>6630</v>
      </c>
      <c r="BO73" s="23">
        <f t="shared" si="159"/>
        <v>6630</v>
      </c>
      <c r="BP73" s="23">
        <f t="shared" si="159"/>
        <v>6630</v>
      </c>
      <c r="BQ73" s="23">
        <f t="shared" si="159"/>
        <v>6630</v>
      </c>
      <c r="BR73" s="23">
        <f t="shared" si="159"/>
        <v>6630</v>
      </c>
      <c r="BS73" s="23">
        <f t="shared" si="159"/>
        <v>6630</v>
      </c>
      <c r="BT73" s="23">
        <f t="shared" si="159"/>
        <v>6630</v>
      </c>
      <c r="BU73" s="23">
        <f t="shared" si="159"/>
        <v>6630</v>
      </c>
      <c r="BV73" s="23">
        <f t="shared" si="159"/>
        <v>6630</v>
      </c>
      <c r="BW73" s="23">
        <f t="shared" si="159"/>
        <v>6630</v>
      </c>
      <c r="BX73" s="23">
        <f>($I$73/12)*AM73</f>
        <v>6762.599999999999</v>
      </c>
      <c r="BY73" s="23">
        <f aca="true" t="shared" si="160" ref="BY73:CI73">($I$73/12)*AN73</f>
        <v>6762.599999999999</v>
      </c>
      <c r="BZ73" s="23">
        <f t="shared" si="160"/>
        <v>6762.599999999999</v>
      </c>
      <c r="CA73" s="23">
        <f t="shared" si="160"/>
        <v>6762.599999999999</v>
      </c>
      <c r="CB73" s="23">
        <f t="shared" si="160"/>
        <v>6762.599999999999</v>
      </c>
      <c r="CC73" s="23">
        <f t="shared" si="160"/>
        <v>6762.599999999999</v>
      </c>
      <c r="CD73" s="23">
        <f t="shared" si="160"/>
        <v>6762.599999999999</v>
      </c>
      <c r="CE73" s="23">
        <f t="shared" si="160"/>
        <v>6762.599999999999</v>
      </c>
      <c r="CF73" s="23">
        <f t="shared" si="160"/>
        <v>6762.599999999999</v>
      </c>
      <c r="CG73" s="23">
        <f t="shared" si="160"/>
        <v>6762.599999999999</v>
      </c>
      <c r="CH73" s="23">
        <f t="shared" si="160"/>
        <v>6762.599999999999</v>
      </c>
      <c r="CI73" s="112">
        <f t="shared" si="160"/>
        <v>6762.599999999999</v>
      </c>
    </row>
    <row r="74" spans="1:87" s="52" customFormat="1" ht="12.75" customHeight="1">
      <c r="A74" s="33" t="s">
        <v>381</v>
      </c>
      <c r="B74" s="236">
        <v>4</v>
      </c>
      <c r="C74" s="237">
        <v>4</v>
      </c>
      <c r="D74" s="237">
        <v>4</v>
      </c>
      <c r="E74" s="248"/>
      <c r="F74" s="239">
        <f>6500*12</f>
        <v>78000</v>
      </c>
      <c r="G74" s="116">
        <f>F74</f>
        <v>78000</v>
      </c>
      <c r="H74" s="116">
        <f>G74*(1+$C$4)</f>
        <v>79560</v>
      </c>
      <c r="I74" s="116">
        <f>H74*(1+$D$4)</f>
        <v>81151.2</v>
      </c>
      <c r="J74" s="248"/>
      <c r="K74" s="214">
        <f>SUM(AZ74:BK74)</f>
        <v>312000</v>
      </c>
      <c r="L74" s="215">
        <f>SUM(BL74:BW74)</f>
        <v>318240</v>
      </c>
      <c r="M74" s="215">
        <f>SUM(BX74:CI74)</f>
        <v>324604.80000000005</v>
      </c>
      <c r="N74" s="248"/>
      <c r="O74" s="52">
        <f>$B$74</f>
        <v>4</v>
      </c>
      <c r="P74" s="52">
        <f aca="true" t="shared" si="161" ref="P74:Z74">$B$74</f>
        <v>4</v>
      </c>
      <c r="Q74" s="52">
        <f t="shared" si="161"/>
        <v>4</v>
      </c>
      <c r="R74" s="52">
        <f t="shared" si="161"/>
        <v>4</v>
      </c>
      <c r="S74" s="52">
        <f t="shared" si="161"/>
        <v>4</v>
      </c>
      <c r="T74" s="52">
        <f t="shared" si="161"/>
        <v>4</v>
      </c>
      <c r="U74" s="52">
        <f t="shared" si="161"/>
        <v>4</v>
      </c>
      <c r="V74" s="52">
        <f t="shared" si="161"/>
        <v>4</v>
      </c>
      <c r="W74" s="52">
        <f t="shared" si="161"/>
        <v>4</v>
      </c>
      <c r="X74" s="52">
        <f t="shared" si="161"/>
        <v>4</v>
      </c>
      <c r="Y74" s="52">
        <f t="shared" si="161"/>
        <v>4</v>
      </c>
      <c r="Z74" s="52">
        <f t="shared" si="161"/>
        <v>4</v>
      </c>
      <c r="AA74" s="52">
        <f>$C$74</f>
        <v>4</v>
      </c>
      <c r="AB74" s="52">
        <f aca="true" t="shared" si="162" ref="AB74:AL74">$C$74</f>
        <v>4</v>
      </c>
      <c r="AC74" s="52">
        <f t="shared" si="162"/>
        <v>4</v>
      </c>
      <c r="AD74" s="52">
        <f t="shared" si="162"/>
        <v>4</v>
      </c>
      <c r="AE74" s="52">
        <f t="shared" si="162"/>
        <v>4</v>
      </c>
      <c r="AF74" s="52">
        <f t="shared" si="162"/>
        <v>4</v>
      </c>
      <c r="AG74" s="52">
        <f t="shared" si="162"/>
        <v>4</v>
      </c>
      <c r="AH74" s="52">
        <f t="shared" si="162"/>
        <v>4</v>
      </c>
      <c r="AI74" s="52">
        <f t="shared" si="162"/>
        <v>4</v>
      </c>
      <c r="AJ74" s="52">
        <f t="shared" si="162"/>
        <v>4</v>
      </c>
      <c r="AK74" s="52">
        <f t="shared" si="162"/>
        <v>4</v>
      </c>
      <c r="AL74" s="52">
        <f t="shared" si="162"/>
        <v>4</v>
      </c>
      <c r="AM74" s="52">
        <f>$D$74</f>
        <v>4</v>
      </c>
      <c r="AN74" s="52">
        <f aca="true" t="shared" si="163" ref="AN74:AX74">$D$74</f>
        <v>4</v>
      </c>
      <c r="AO74" s="52">
        <f t="shared" si="163"/>
        <v>4</v>
      </c>
      <c r="AP74" s="52">
        <f t="shared" si="163"/>
        <v>4</v>
      </c>
      <c r="AQ74" s="52">
        <f t="shared" si="163"/>
        <v>4</v>
      </c>
      <c r="AR74" s="52">
        <f t="shared" si="163"/>
        <v>4</v>
      </c>
      <c r="AS74" s="52">
        <f t="shared" si="163"/>
        <v>4</v>
      </c>
      <c r="AT74" s="52">
        <f t="shared" si="163"/>
        <v>4</v>
      </c>
      <c r="AU74" s="52">
        <f t="shared" si="163"/>
        <v>4</v>
      </c>
      <c r="AV74" s="52">
        <f t="shared" si="163"/>
        <v>4</v>
      </c>
      <c r="AW74" s="52">
        <f t="shared" si="163"/>
        <v>4</v>
      </c>
      <c r="AX74" s="52">
        <f t="shared" si="163"/>
        <v>4</v>
      </c>
      <c r="AZ74" s="116">
        <f>($G$74/12)*O74</f>
        <v>26000</v>
      </c>
      <c r="BA74" s="116">
        <f aca="true" t="shared" si="164" ref="BA74:BK74">($G$74/12)*P74</f>
        <v>26000</v>
      </c>
      <c r="BB74" s="116">
        <f t="shared" si="164"/>
        <v>26000</v>
      </c>
      <c r="BC74" s="116">
        <f t="shared" si="164"/>
        <v>26000</v>
      </c>
      <c r="BD74" s="116">
        <f t="shared" si="164"/>
        <v>26000</v>
      </c>
      <c r="BE74" s="116">
        <f t="shared" si="164"/>
        <v>26000</v>
      </c>
      <c r="BF74" s="116">
        <f t="shared" si="164"/>
        <v>26000</v>
      </c>
      <c r="BG74" s="116">
        <f t="shared" si="164"/>
        <v>26000</v>
      </c>
      <c r="BH74" s="116">
        <f t="shared" si="164"/>
        <v>26000</v>
      </c>
      <c r="BI74" s="116">
        <f t="shared" si="164"/>
        <v>26000</v>
      </c>
      <c r="BJ74" s="116">
        <f t="shared" si="164"/>
        <v>26000</v>
      </c>
      <c r="BK74" s="116">
        <f t="shared" si="164"/>
        <v>26000</v>
      </c>
      <c r="BL74" s="116">
        <f>($H$74/12)*AA74</f>
        <v>26520</v>
      </c>
      <c r="BM74" s="116">
        <f>($H$74/12)*AB74</f>
        <v>26520</v>
      </c>
      <c r="BN74" s="116">
        <f aca="true" t="shared" si="165" ref="BN74:BW74">($H$74/12)*AC74</f>
        <v>26520</v>
      </c>
      <c r="BO74" s="116">
        <f t="shared" si="165"/>
        <v>26520</v>
      </c>
      <c r="BP74" s="116">
        <f t="shared" si="165"/>
        <v>26520</v>
      </c>
      <c r="BQ74" s="116">
        <f t="shared" si="165"/>
        <v>26520</v>
      </c>
      <c r="BR74" s="116">
        <f t="shared" si="165"/>
        <v>26520</v>
      </c>
      <c r="BS74" s="116">
        <f t="shared" si="165"/>
        <v>26520</v>
      </c>
      <c r="BT74" s="116">
        <f t="shared" si="165"/>
        <v>26520</v>
      </c>
      <c r="BU74" s="116">
        <f t="shared" si="165"/>
        <v>26520</v>
      </c>
      <c r="BV74" s="116">
        <f t="shared" si="165"/>
        <v>26520</v>
      </c>
      <c r="BW74" s="116">
        <f t="shared" si="165"/>
        <v>26520</v>
      </c>
      <c r="BX74" s="116">
        <f>($I$74/12)*AM74</f>
        <v>27050.399999999998</v>
      </c>
      <c r="BY74" s="116">
        <f aca="true" t="shared" si="166" ref="BY74:CI74">($I$74/12)*AN74</f>
        <v>27050.399999999998</v>
      </c>
      <c r="BZ74" s="116">
        <f t="shared" si="166"/>
        <v>27050.399999999998</v>
      </c>
      <c r="CA74" s="116">
        <f t="shared" si="166"/>
        <v>27050.399999999998</v>
      </c>
      <c r="CB74" s="116">
        <f t="shared" si="166"/>
        <v>27050.399999999998</v>
      </c>
      <c r="CC74" s="116">
        <f t="shared" si="166"/>
        <v>27050.399999999998</v>
      </c>
      <c r="CD74" s="116">
        <f t="shared" si="166"/>
        <v>27050.399999999998</v>
      </c>
      <c r="CE74" s="116">
        <f t="shared" si="166"/>
        <v>27050.399999999998</v>
      </c>
      <c r="CF74" s="116">
        <f t="shared" si="166"/>
        <v>27050.399999999998</v>
      </c>
      <c r="CG74" s="116">
        <f t="shared" si="166"/>
        <v>27050.399999999998</v>
      </c>
      <c r="CH74" s="116">
        <f t="shared" si="166"/>
        <v>27050.399999999998</v>
      </c>
      <c r="CI74" s="119">
        <f t="shared" si="166"/>
        <v>27050.399999999998</v>
      </c>
    </row>
    <row r="75" spans="1:114" s="52" customFormat="1" ht="12.75" customHeight="1">
      <c r="A75" s="38" t="s">
        <v>316</v>
      </c>
      <c r="B75" s="38">
        <f>SUM(B73:B74)</f>
        <v>5</v>
      </c>
      <c r="C75" s="52">
        <f>SUM(C73:C74)</f>
        <v>5</v>
      </c>
      <c r="D75" s="52">
        <f>SUM(D73:D74)</f>
        <v>5</v>
      </c>
      <c r="E75" s="248"/>
      <c r="F75" s="118"/>
      <c r="G75" s="116"/>
      <c r="H75" s="116"/>
      <c r="I75" s="116"/>
      <c r="J75" s="248"/>
      <c r="K75" s="214">
        <f>SUM(K73:K74)</f>
        <v>390000</v>
      </c>
      <c r="L75" s="215">
        <f>SUM(L73:L74)</f>
        <v>397800</v>
      </c>
      <c r="M75" s="215">
        <f>SUM(M73:M74)</f>
        <v>405756.00000000006</v>
      </c>
      <c r="N75" s="248"/>
      <c r="O75" s="52">
        <f aca="true" t="shared" si="167" ref="O75:AX75">SUM(O73:O74)</f>
        <v>5</v>
      </c>
      <c r="P75" s="52">
        <f t="shared" si="167"/>
        <v>5</v>
      </c>
      <c r="Q75" s="52">
        <f t="shared" si="167"/>
        <v>5</v>
      </c>
      <c r="R75" s="52">
        <f t="shared" si="167"/>
        <v>5</v>
      </c>
      <c r="S75" s="52">
        <f t="shared" si="167"/>
        <v>5</v>
      </c>
      <c r="T75" s="52">
        <f t="shared" si="167"/>
        <v>5</v>
      </c>
      <c r="U75" s="52">
        <f t="shared" si="167"/>
        <v>5</v>
      </c>
      <c r="V75" s="52">
        <f t="shared" si="167"/>
        <v>5</v>
      </c>
      <c r="W75" s="52">
        <f t="shared" si="167"/>
        <v>5</v>
      </c>
      <c r="X75" s="52">
        <f t="shared" si="167"/>
        <v>5</v>
      </c>
      <c r="Y75" s="52">
        <f t="shared" si="167"/>
        <v>5</v>
      </c>
      <c r="Z75" s="52">
        <f t="shared" si="167"/>
        <v>5</v>
      </c>
      <c r="AA75" s="52">
        <f t="shared" si="167"/>
        <v>5</v>
      </c>
      <c r="AB75" s="52">
        <f t="shared" si="167"/>
        <v>5</v>
      </c>
      <c r="AC75" s="52">
        <f t="shared" si="167"/>
        <v>5</v>
      </c>
      <c r="AD75" s="52">
        <f t="shared" si="167"/>
        <v>5</v>
      </c>
      <c r="AE75" s="52">
        <f t="shared" si="167"/>
        <v>5</v>
      </c>
      <c r="AF75" s="52">
        <f t="shared" si="167"/>
        <v>5</v>
      </c>
      <c r="AG75" s="52">
        <f t="shared" si="167"/>
        <v>5</v>
      </c>
      <c r="AH75" s="52">
        <f t="shared" si="167"/>
        <v>5</v>
      </c>
      <c r="AI75" s="52">
        <f t="shared" si="167"/>
        <v>5</v>
      </c>
      <c r="AJ75" s="52">
        <f t="shared" si="167"/>
        <v>5</v>
      </c>
      <c r="AK75" s="52">
        <f t="shared" si="167"/>
        <v>5</v>
      </c>
      <c r="AL75" s="52">
        <f t="shared" si="167"/>
        <v>5</v>
      </c>
      <c r="AM75" s="52">
        <f t="shared" si="167"/>
        <v>5</v>
      </c>
      <c r="AN75" s="52">
        <f t="shared" si="167"/>
        <v>5</v>
      </c>
      <c r="AO75" s="52">
        <f t="shared" si="167"/>
        <v>5</v>
      </c>
      <c r="AP75" s="52">
        <f t="shared" si="167"/>
        <v>5</v>
      </c>
      <c r="AQ75" s="52">
        <f t="shared" si="167"/>
        <v>5</v>
      </c>
      <c r="AR75" s="52">
        <f t="shared" si="167"/>
        <v>5</v>
      </c>
      <c r="AS75" s="52">
        <f t="shared" si="167"/>
        <v>5</v>
      </c>
      <c r="AT75" s="52">
        <f t="shared" si="167"/>
        <v>5</v>
      </c>
      <c r="AU75" s="52">
        <f t="shared" si="167"/>
        <v>5</v>
      </c>
      <c r="AV75" s="52">
        <f t="shared" si="167"/>
        <v>5</v>
      </c>
      <c r="AW75" s="52">
        <f t="shared" si="167"/>
        <v>5</v>
      </c>
      <c r="AX75" s="52">
        <f t="shared" si="167"/>
        <v>5</v>
      </c>
      <c r="AZ75" s="116">
        <f aca="true" t="shared" si="168" ref="AZ75:CI75">SUM(AZ73:AZ74)</f>
        <v>32500</v>
      </c>
      <c r="BA75" s="116">
        <f t="shared" si="168"/>
        <v>32500</v>
      </c>
      <c r="BB75" s="116">
        <f t="shared" si="168"/>
        <v>32500</v>
      </c>
      <c r="BC75" s="116">
        <f t="shared" si="168"/>
        <v>32500</v>
      </c>
      <c r="BD75" s="116">
        <f t="shared" si="168"/>
        <v>32500</v>
      </c>
      <c r="BE75" s="116">
        <f t="shared" si="168"/>
        <v>32500</v>
      </c>
      <c r="BF75" s="116">
        <f t="shared" si="168"/>
        <v>32500</v>
      </c>
      <c r="BG75" s="116">
        <f t="shared" si="168"/>
        <v>32500</v>
      </c>
      <c r="BH75" s="116">
        <f t="shared" si="168"/>
        <v>32500</v>
      </c>
      <c r="BI75" s="116">
        <f t="shared" si="168"/>
        <v>32500</v>
      </c>
      <c r="BJ75" s="116">
        <f t="shared" si="168"/>
        <v>32500</v>
      </c>
      <c r="BK75" s="116">
        <f t="shared" si="168"/>
        <v>32500</v>
      </c>
      <c r="BL75" s="116">
        <f t="shared" si="168"/>
        <v>33150</v>
      </c>
      <c r="BM75" s="116">
        <f t="shared" si="168"/>
        <v>33150</v>
      </c>
      <c r="BN75" s="116">
        <f t="shared" si="168"/>
        <v>33150</v>
      </c>
      <c r="BO75" s="116">
        <f t="shared" si="168"/>
        <v>33150</v>
      </c>
      <c r="BP75" s="116">
        <f t="shared" si="168"/>
        <v>33150</v>
      </c>
      <c r="BQ75" s="116">
        <f t="shared" si="168"/>
        <v>33150</v>
      </c>
      <c r="BR75" s="116">
        <f t="shared" si="168"/>
        <v>33150</v>
      </c>
      <c r="BS75" s="116">
        <f t="shared" si="168"/>
        <v>33150</v>
      </c>
      <c r="BT75" s="116">
        <f t="shared" si="168"/>
        <v>33150</v>
      </c>
      <c r="BU75" s="116">
        <f t="shared" si="168"/>
        <v>33150</v>
      </c>
      <c r="BV75" s="116">
        <f t="shared" si="168"/>
        <v>33150</v>
      </c>
      <c r="BW75" s="116">
        <f t="shared" si="168"/>
        <v>33150</v>
      </c>
      <c r="BX75" s="116">
        <f t="shared" si="168"/>
        <v>33813</v>
      </c>
      <c r="BY75" s="116">
        <f t="shared" si="168"/>
        <v>33813</v>
      </c>
      <c r="BZ75" s="116">
        <f t="shared" si="168"/>
        <v>33813</v>
      </c>
      <c r="CA75" s="116">
        <f t="shared" si="168"/>
        <v>33813</v>
      </c>
      <c r="CB75" s="116">
        <f t="shared" si="168"/>
        <v>33813</v>
      </c>
      <c r="CC75" s="116">
        <f t="shared" si="168"/>
        <v>33813</v>
      </c>
      <c r="CD75" s="116">
        <f t="shared" si="168"/>
        <v>33813</v>
      </c>
      <c r="CE75" s="116">
        <f t="shared" si="168"/>
        <v>33813</v>
      </c>
      <c r="CF75" s="116">
        <f t="shared" si="168"/>
        <v>33813</v>
      </c>
      <c r="CG75" s="116">
        <f t="shared" si="168"/>
        <v>33813</v>
      </c>
      <c r="CH75" s="116">
        <f t="shared" si="168"/>
        <v>33813</v>
      </c>
      <c r="CI75" s="119">
        <f t="shared" si="168"/>
        <v>33813</v>
      </c>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row>
    <row r="76" spans="1:87" ht="12.75" customHeight="1">
      <c r="A76" s="32" t="s">
        <v>196</v>
      </c>
      <c r="B76" s="32"/>
      <c r="C76" s="26"/>
      <c r="D76" s="26"/>
      <c r="E76" s="246"/>
      <c r="F76" s="111"/>
      <c r="G76" s="23"/>
      <c r="H76" s="23"/>
      <c r="I76" s="23"/>
      <c r="J76" s="246"/>
      <c r="K76" s="158">
        <f>K75*B5</f>
        <v>97500</v>
      </c>
      <c r="L76" s="153">
        <f>L75*C5</f>
        <v>99450</v>
      </c>
      <c r="M76" s="153">
        <f>M75*D5</f>
        <v>101439.00000000001</v>
      </c>
      <c r="N76" s="24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3">
        <f aca="true" t="shared" si="169" ref="AZ76:BK76">AZ75*$B$5</f>
        <v>8125</v>
      </c>
      <c r="BA76" s="23">
        <f t="shared" si="169"/>
        <v>8125</v>
      </c>
      <c r="BB76" s="23">
        <f t="shared" si="169"/>
        <v>8125</v>
      </c>
      <c r="BC76" s="23">
        <f t="shared" si="169"/>
        <v>8125</v>
      </c>
      <c r="BD76" s="23">
        <f t="shared" si="169"/>
        <v>8125</v>
      </c>
      <c r="BE76" s="23">
        <f t="shared" si="169"/>
        <v>8125</v>
      </c>
      <c r="BF76" s="23">
        <f t="shared" si="169"/>
        <v>8125</v>
      </c>
      <c r="BG76" s="23">
        <f t="shared" si="169"/>
        <v>8125</v>
      </c>
      <c r="BH76" s="23">
        <f t="shared" si="169"/>
        <v>8125</v>
      </c>
      <c r="BI76" s="23">
        <f t="shared" si="169"/>
        <v>8125</v>
      </c>
      <c r="BJ76" s="23">
        <f t="shared" si="169"/>
        <v>8125</v>
      </c>
      <c r="BK76" s="23">
        <f t="shared" si="169"/>
        <v>8125</v>
      </c>
      <c r="BL76" s="23">
        <f aca="true" t="shared" si="170" ref="BL76:BW76">BL75*$C$5</f>
        <v>8287.5</v>
      </c>
      <c r="BM76" s="23">
        <f t="shared" si="170"/>
        <v>8287.5</v>
      </c>
      <c r="BN76" s="23">
        <f t="shared" si="170"/>
        <v>8287.5</v>
      </c>
      <c r="BO76" s="23">
        <f t="shared" si="170"/>
        <v>8287.5</v>
      </c>
      <c r="BP76" s="23">
        <f t="shared" si="170"/>
        <v>8287.5</v>
      </c>
      <c r="BQ76" s="23">
        <f t="shared" si="170"/>
        <v>8287.5</v>
      </c>
      <c r="BR76" s="23">
        <f t="shared" si="170"/>
        <v>8287.5</v>
      </c>
      <c r="BS76" s="23">
        <f t="shared" si="170"/>
        <v>8287.5</v>
      </c>
      <c r="BT76" s="23">
        <f t="shared" si="170"/>
        <v>8287.5</v>
      </c>
      <c r="BU76" s="23">
        <f t="shared" si="170"/>
        <v>8287.5</v>
      </c>
      <c r="BV76" s="23">
        <f t="shared" si="170"/>
        <v>8287.5</v>
      </c>
      <c r="BW76" s="23">
        <f t="shared" si="170"/>
        <v>8287.5</v>
      </c>
      <c r="BX76" s="23">
        <f aca="true" t="shared" si="171" ref="BX76:CI76">BX75*$D$5</f>
        <v>8453.25</v>
      </c>
      <c r="BY76" s="23">
        <f t="shared" si="171"/>
        <v>8453.25</v>
      </c>
      <c r="BZ76" s="23">
        <f t="shared" si="171"/>
        <v>8453.25</v>
      </c>
      <c r="CA76" s="23">
        <f t="shared" si="171"/>
        <v>8453.25</v>
      </c>
      <c r="CB76" s="23">
        <f t="shared" si="171"/>
        <v>8453.25</v>
      </c>
      <c r="CC76" s="23">
        <f t="shared" si="171"/>
        <v>8453.25</v>
      </c>
      <c r="CD76" s="23">
        <f t="shared" si="171"/>
        <v>8453.25</v>
      </c>
      <c r="CE76" s="23">
        <f t="shared" si="171"/>
        <v>8453.25</v>
      </c>
      <c r="CF76" s="23">
        <f t="shared" si="171"/>
        <v>8453.25</v>
      </c>
      <c r="CG76" s="23">
        <f t="shared" si="171"/>
        <v>8453.25</v>
      </c>
      <c r="CH76" s="23">
        <f t="shared" si="171"/>
        <v>8453.25</v>
      </c>
      <c r="CI76" s="112">
        <f t="shared" si="171"/>
        <v>8453.25</v>
      </c>
    </row>
    <row r="77" spans="1:87" ht="12.75" customHeight="1">
      <c r="A77" s="32" t="s">
        <v>374</v>
      </c>
      <c r="B77" s="32"/>
      <c r="C77" s="26"/>
      <c r="D77" s="26"/>
      <c r="E77" s="246"/>
      <c r="F77" s="111"/>
      <c r="G77" s="23"/>
      <c r="H77" s="23"/>
      <c r="I77" s="23"/>
      <c r="J77" s="246"/>
      <c r="K77" s="158">
        <f>K75+K76</f>
        <v>487500</v>
      </c>
      <c r="L77" s="153">
        <f>L75+L76</f>
        <v>497250</v>
      </c>
      <c r="M77" s="153">
        <f>M75+M76</f>
        <v>507195.00000000006</v>
      </c>
      <c r="N77" s="24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3">
        <f aca="true" t="shared" si="172" ref="AZ77:CI77">AZ75+AZ76</f>
        <v>40625</v>
      </c>
      <c r="BA77" s="23">
        <f t="shared" si="172"/>
        <v>40625</v>
      </c>
      <c r="BB77" s="23">
        <f t="shared" si="172"/>
        <v>40625</v>
      </c>
      <c r="BC77" s="23">
        <f t="shared" si="172"/>
        <v>40625</v>
      </c>
      <c r="BD77" s="23">
        <f t="shared" si="172"/>
        <v>40625</v>
      </c>
      <c r="BE77" s="23">
        <f t="shared" si="172"/>
        <v>40625</v>
      </c>
      <c r="BF77" s="23">
        <f t="shared" si="172"/>
        <v>40625</v>
      </c>
      <c r="BG77" s="23">
        <f t="shared" si="172"/>
        <v>40625</v>
      </c>
      <c r="BH77" s="23">
        <f t="shared" si="172"/>
        <v>40625</v>
      </c>
      <c r="BI77" s="23">
        <f t="shared" si="172"/>
        <v>40625</v>
      </c>
      <c r="BJ77" s="23">
        <f t="shared" si="172"/>
        <v>40625</v>
      </c>
      <c r="BK77" s="23">
        <f t="shared" si="172"/>
        <v>40625</v>
      </c>
      <c r="BL77" s="23">
        <f t="shared" si="172"/>
        <v>41437.5</v>
      </c>
      <c r="BM77" s="23">
        <f t="shared" si="172"/>
        <v>41437.5</v>
      </c>
      <c r="BN77" s="23">
        <f t="shared" si="172"/>
        <v>41437.5</v>
      </c>
      <c r="BO77" s="23">
        <f t="shared" si="172"/>
        <v>41437.5</v>
      </c>
      <c r="BP77" s="23">
        <f t="shared" si="172"/>
        <v>41437.5</v>
      </c>
      <c r="BQ77" s="23">
        <f t="shared" si="172"/>
        <v>41437.5</v>
      </c>
      <c r="BR77" s="23">
        <f t="shared" si="172"/>
        <v>41437.5</v>
      </c>
      <c r="BS77" s="23">
        <f t="shared" si="172"/>
        <v>41437.5</v>
      </c>
      <c r="BT77" s="23">
        <f t="shared" si="172"/>
        <v>41437.5</v>
      </c>
      <c r="BU77" s="23">
        <f t="shared" si="172"/>
        <v>41437.5</v>
      </c>
      <c r="BV77" s="23">
        <f t="shared" si="172"/>
        <v>41437.5</v>
      </c>
      <c r="BW77" s="23">
        <f t="shared" si="172"/>
        <v>41437.5</v>
      </c>
      <c r="BX77" s="23">
        <f t="shared" si="172"/>
        <v>42266.25</v>
      </c>
      <c r="BY77" s="23">
        <f t="shared" si="172"/>
        <v>42266.25</v>
      </c>
      <c r="BZ77" s="23">
        <f t="shared" si="172"/>
        <v>42266.25</v>
      </c>
      <c r="CA77" s="23">
        <f t="shared" si="172"/>
        <v>42266.25</v>
      </c>
      <c r="CB77" s="23">
        <f t="shared" si="172"/>
        <v>42266.25</v>
      </c>
      <c r="CC77" s="23">
        <f t="shared" si="172"/>
        <v>42266.25</v>
      </c>
      <c r="CD77" s="23">
        <f t="shared" si="172"/>
        <v>42266.25</v>
      </c>
      <c r="CE77" s="23">
        <f t="shared" si="172"/>
        <v>42266.25</v>
      </c>
      <c r="CF77" s="23">
        <f t="shared" si="172"/>
        <v>42266.25</v>
      </c>
      <c r="CG77" s="23">
        <f t="shared" si="172"/>
        <v>42266.25</v>
      </c>
      <c r="CH77" s="23">
        <f t="shared" si="172"/>
        <v>42266.25</v>
      </c>
      <c r="CI77" s="112">
        <f t="shared" si="172"/>
        <v>42266.25</v>
      </c>
    </row>
    <row r="78" spans="1:87" ht="12.75" customHeight="1">
      <c r="A78" s="32"/>
      <c r="B78" s="32"/>
      <c r="C78" s="26"/>
      <c r="D78" s="26"/>
      <c r="E78" s="246"/>
      <c r="F78" s="111"/>
      <c r="G78" s="23"/>
      <c r="H78" s="23"/>
      <c r="I78" s="23"/>
      <c r="J78" s="246"/>
      <c r="K78" s="158"/>
      <c r="L78" s="153"/>
      <c r="M78" s="153"/>
      <c r="N78" s="24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112"/>
    </row>
    <row r="79" spans="1:87" ht="12.75" customHeight="1">
      <c r="A79" s="162" t="s">
        <v>263</v>
      </c>
      <c r="B79" s="32"/>
      <c r="C79" s="26"/>
      <c r="D79" s="26"/>
      <c r="E79" s="246"/>
      <c r="F79" s="111"/>
      <c r="G79" s="23"/>
      <c r="H79" s="23"/>
      <c r="I79" s="23"/>
      <c r="J79" s="246"/>
      <c r="K79" s="32"/>
      <c r="L79" s="26"/>
      <c r="M79" s="26"/>
      <c r="N79" s="24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112"/>
    </row>
    <row r="80" spans="1:114" s="26" customFormat="1" ht="12.75" customHeight="1">
      <c r="A80" s="32" t="s">
        <v>375</v>
      </c>
      <c r="B80" s="234">
        <v>1</v>
      </c>
      <c r="C80" s="235">
        <v>1</v>
      </c>
      <c r="D80" s="235">
        <v>1</v>
      </c>
      <c r="E80" s="246"/>
      <c r="F80" s="238">
        <f>6500*12</f>
        <v>78000</v>
      </c>
      <c r="G80" s="23">
        <f>F80</f>
        <v>78000</v>
      </c>
      <c r="H80" s="23">
        <f>G80*(1+C4)</f>
        <v>79560</v>
      </c>
      <c r="I80" s="23">
        <f>H80*(1+D4)</f>
        <v>81151.2</v>
      </c>
      <c r="J80" s="246"/>
      <c r="K80" s="158">
        <f>SUM(AZ80:BK80)</f>
        <v>78000</v>
      </c>
      <c r="L80" s="153">
        <f>SUM(BL80:BW80)</f>
        <v>79560</v>
      </c>
      <c r="M80" s="153">
        <f>SUM(BX80:CI80)</f>
        <v>81151.20000000001</v>
      </c>
      <c r="N80" s="246"/>
      <c r="O80" s="26">
        <f>$B$80</f>
        <v>1</v>
      </c>
      <c r="P80" s="26">
        <f aca="true" t="shared" si="173" ref="P80:Z80">$B$80</f>
        <v>1</v>
      </c>
      <c r="Q80" s="26">
        <f t="shared" si="173"/>
        <v>1</v>
      </c>
      <c r="R80" s="26">
        <f t="shared" si="173"/>
        <v>1</v>
      </c>
      <c r="S80" s="26">
        <f t="shared" si="173"/>
        <v>1</v>
      </c>
      <c r="T80" s="26">
        <f t="shared" si="173"/>
        <v>1</v>
      </c>
      <c r="U80" s="26">
        <f t="shared" si="173"/>
        <v>1</v>
      </c>
      <c r="V80" s="26">
        <f t="shared" si="173"/>
        <v>1</v>
      </c>
      <c r="W80" s="26">
        <f t="shared" si="173"/>
        <v>1</v>
      </c>
      <c r="X80" s="26">
        <f t="shared" si="173"/>
        <v>1</v>
      </c>
      <c r="Y80" s="26">
        <f t="shared" si="173"/>
        <v>1</v>
      </c>
      <c r="Z80" s="26">
        <f t="shared" si="173"/>
        <v>1</v>
      </c>
      <c r="AA80" s="26">
        <f>$C$80</f>
        <v>1</v>
      </c>
      <c r="AB80" s="26">
        <f aca="true" t="shared" si="174" ref="AB80:AL80">$C$80</f>
        <v>1</v>
      </c>
      <c r="AC80" s="26">
        <f t="shared" si="174"/>
        <v>1</v>
      </c>
      <c r="AD80" s="26">
        <f t="shared" si="174"/>
        <v>1</v>
      </c>
      <c r="AE80" s="26">
        <f t="shared" si="174"/>
        <v>1</v>
      </c>
      <c r="AF80" s="26">
        <f t="shared" si="174"/>
        <v>1</v>
      </c>
      <c r="AG80" s="26">
        <f t="shared" si="174"/>
        <v>1</v>
      </c>
      <c r="AH80" s="26">
        <f t="shared" si="174"/>
        <v>1</v>
      </c>
      <c r="AI80" s="26">
        <f t="shared" si="174"/>
        <v>1</v>
      </c>
      <c r="AJ80" s="26">
        <f t="shared" si="174"/>
        <v>1</v>
      </c>
      <c r="AK80" s="26">
        <f t="shared" si="174"/>
        <v>1</v>
      </c>
      <c r="AL80" s="26">
        <f t="shared" si="174"/>
        <v>1</v>
      </c>
      <c r="AM80" s="26">
        <f>$D$80</f>
        <v>1</v>
      </c>
      <c r="AN80" s="26">
        <f aca="true" t="shared" si="175" ref="AN80:AX80">$D$80</f>
        <v>1</v>
      </c>
      <c r="AO80" s="26">
        <f t="shared" si="175"/>
        <v>1</v>
      </c>
      <c r="AP80" s="26">
        <f t="shared" si="175"/>
        <v>1</v>
      </c>
      <c r="AQ80" s="26">
        <f t="shared" si="175"/>
        <v>1</v>
      </c>
      <c r="AR80" s="26">
        <f t="shared" si="175"/>
        <v>1</v>
      </c>
      <c r="AS80" s="26">
        <f t="shared" si="175"/>
        <v>1</v>
      </c>
      <c r="AT80" s="26">
        <f t="shared" si="175"/>
        <v>1</v>
      </c>
      <c r="AU80" s="26">
        <f t="shared" si="175"/>
        <v>1</v>
      </c>
      <c r="AV80" s="26">
        <f t="shared" si="175"/>
        <v>1</v>
      </c>
      <c r="AW80" s="26">
        <f t="shared" si="175"/>
        <v>1</v>
      </c>
      <c r="AX80" s="26">
        <f t="shared" si="175"/>
        <v>1</v>
      </c>
      <c r="AZ80" s="23">
        <f>($G$80/12)*O80</f>
        <v>6500</v>
      </c>
      <c r="BA80" s="23">
        <f aca="true" t="shared" si="176" ref="BA80:BK80">($G$80/12)*P80</f>
        <v>6500</v>
      </c>
      <c r="BB80" s="23">
        <f t="shared" si="176"/>
        <v>6500</v>
      </c>
      <c r="BC80" s="23">
        <f t="shared" si="176"/>
        <v>6500</v>
      </c>
      <c r="BD80" s="23">
        <f t="shared" si="176"/>
        <v>6500</v>
      </c>
      <c r="BE80" s="23">
        <f t="shared" si="176"/>
        <v>6500</v>
      </c>
      <c r="BF80" s="23">
        <f t="shared" si="176"/>
        <v>6500</v>
      </c>
      <c r="BG80" s="23">
        <f t="shared" si="176"/>
        <v>6500</v>
      </c>
      <c r="BH80" s="23">
        <f t="shared" si="176"/>
        <v>6500</v>
      </c>
      <c r="BI80" s="23">
        <f t="shared" si="176"/>
        <v>6500</v>
      </c>
      <c r="BJ80" s="23">
        <f t="shared" si="176"/>
        <v>6500</v>
      </c>
      <c r="BK80" s="23">
        <f t="shared" si="176"/>
        <v>6500</v>
      </c>
      <c r="BL80" s="23">
        <f>($H$80/12)*AA80</f>
        <v>6630</v>
      </c>
      <c r="BM80" s="23">
        <f aca="true" t="shared" si="177" ref="BM80:BW80">($H$80/12)*AB80</f>
        <v>6630</v>
      </c>
      <c r="BN80" s="23">
        <f t="shared" si="177"/>
        <v>6630</v>
      </c>
      <c r="BO80" s="23">
        <f t="shared" si="177"/>
        <v>6630</v>
      </c>
      <c r="BP80" s="23">
        <f t="shared" si="177"/>
        <v>6630</v>
      </c>
      <c r="BQ80" s="23">
        <f t="shared" si="177"/>
        <v>6630</v>
      </c>
      <c r="BR80" s="23">
        <f t="shared" si="177"/>
        <v>6630</v>
      </c>
      <c r="BS80" s="23">
        <f t="shared" si="177"/>
        <v>6630</v>
      </c>
      <c r="BT80" s="23">
        <f t="shared" si="177"/>
        <v>6630</v>
      </c>
      <c r="BU80" s="23">
        <f t="shared" si="177"/>
        <v>6630</v>
      </c>
      <c r="BV80" s="23">
        <f t="shared" si="177"/>
        <v>6630</v>
      </c>
      <c r="BW80" s="23">
        <f t="shared" si="177"/>
        <v>6630</v>
      </c>
      <c r="BX80" s="23">
        <f>($I$80/12)*AM80</f>
        <v>6762.599999999999</v>
      </c>
      <c r="BY80" s="23">
        <f aca="true" t="shared" si="178" ref="BY80:CI80">($I$80/12)*AN80</f>
        <v>6762.599999999999</v>
      </c>
      <c r="BZ80" s="23">
        <f t="shared" si="178"/>
        <v>6762.599999999999</v>
      </c>
      <c r="CA80" s="23">
        <f t="shared" si="178"/>
        <v>6762.599999999999</v>
      </c>
      <c r="CB80" s="23">
        <f t="shared" si="178"/>
        <v>6762.599999999999</v>
      </c>
      <c r="CC80" s="23">
        <f t="shared" si="178"/>
        <v>6762.599999999999</v>
      </c>
      <c r="CD80" s="23">
        <f t="shared" si="178"/>
        <v>6762.599999999999</v>
      </c>
      <c r="CE80" s="23">
        <f t="shared" si="178"/>
        <v>6762.599999999999</v>
      </c>
      <c r="CF80" s="23">
        <f t="shared" si="178"/>
        <v>6762.599999999999</v>
      </c>
      <c r="CG80" s="23">
        <f t="shared" si="178"/>
        <v>6762.599999999999</v>
      </c>
      <c r="CH80" s="23">
        <f t="shared" si="178"/>
        <v>6762.599999999999</v>
      </c>
      <c r="CI80" s="112">
        <f t="shared" si="178"/>
        <v>6762.599999999999</v>
      </c>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row>
    <row r="81" spans="1:114" s="52" customFormat="1" ht="12.75" customHeight="1">
      <c r="A81" s="264" t="s">
        <v>377</v>
      </c>
      <c r="B81" s="236">
        <v>2</v>
      </c>
      <c r="C81" s="237">
        <v>2</v>
      </c>
      <c r="D81" s="237">
        <v>2</v>
      </c>
      <c r="E81" s="248"/>
      <c r="F81" s="239">
        <v>78000</v>
      </c>
      <c r="G81" s="116">
        <f>F81</f>
        <v>78000</v>
      </c>
      <c r="H81" s="116">
        <f>G81*(1+C4)</f>
        <v>79560</v>
      </c>
      <c r="I81" s="116">
        <f>H81*(1+D4)</f>
        <v>81151.2</v>
      </c>
      <c r="J81" s="248"/>
      <c r="K81" s="214">
        <f>SUM(AZ81:BK81)</f>
        <v>156000</v>
      </c>
      <c r="L81" s="215">
        <f>SUM(BL81:BW81)</f>
        <v>159120</v>
      </c>
      <c r="M81" s="215">
        <f>SUM(BX81:CI81)</f>
        <v>162302.40000000002</v>
      </c>
      <c r="N81" s="248"/>
      <c r="O81" s="52">
        <f>$B$81</f>
        <v>2</v>
      </c>
      <c r="P81" s="52">
        <f aca="true" t="shared" si="179" ref="P81:Z81">$B$81</f>
        <v>2</v>
      </c>
      <c r="Q81" s="52">
        <f t="shared" si="179"/>
        <v>2</v>
      </c>
      <c r="R81" s="52">
        <f t="shared" si="179"/>
        <v>2</v>
      </c>
      <c r="S81" s="52">
        <f t="shared" si="179"/>
        <v>2</v>
      </c>
      <c r="T81" s="52">
        <f t="shared" si="179"/>
        <v>2</v>
      </c>
      <c r="U81" s="52">
        <f t="shared" si="179"/>
        <v>2</v>
      </c>
      <c r="V81" s="52">
        <f t="shared" si="179"/>
        <v>2</v>
      </c>
      <c r="W81" s="52">
        <f t="shared" si="179"/>
        <v>2</v>
      </c>
      <c r="X81" s="52">
        <f t="shared" si="179"/>
        <v>2</v>
      </c>
      <c r="Y81" s="52">
        <f t="shared" si="179"/>
        <v>2</v>
      </c>
      <c r="Z81" s="52">
        <f t="shared" si="179"/>
        <v>2</v>
      </c>
      <c r="AA81" s="52">
        <f>$C$81</f>
        <v>2</v>
      </c>
      <c r="AB81" s="52">
        <f aca="true" t="shared" si="180" ref="AB81:AL81">$C$81</f>
        <v>2</v>
      </c>
      <c r="AC81" s="52">
        <f t="shared" si="180"/>
        <v>2</v>
      </c>
      <c r="AD81" s="52">
        <f t="shared" si="180"/>
        <v>2</v>
      </c>
      <c r="AE81" s="52">
        <f t="shared" si="180"/>
        <v>2</v>
      </c>
      <c r="AF81" s="52">
        <f t="shared" si="180"/>
        <v>2</v>
      </c>
      <c r="AG81" s="52">
        <f t="shared" si="180"/>
        <v>2</v>
      </c>
      <c r="AH81" s="52">
        <f t="shared" si="180"/>
        <v>2</v>
      </c>
      <c r="AI81" s="52">
        <f t="shared" si="180"/>
        <v>2</v>
      </c>
      <c r="AJ81" s="52">
        <f t="shared" si="180"/>
        <v>2</v>
      </c>
      <c r="AK81" s="52">
        <f t="shared" si="180"/>
        <v>2</v>
      </c>
      <c r="AL81" s="52">
        <f t="shared" si="180"/>
        <v>2</v>
      </c>
      <c r="AM81" s="52">
        <f>$D$81</f>
        <v>2</v>
      </c>
      <c r="AN81" s="52">
        <f aca="true" t="shared" si="181" ref="AN81:AX81">$D$81</f>
        <v>2</v>
      </c>
      <c r="AO81" s="52">
        <f t="shared" si="181"/>
        <v>2</v>
      </c>
      <c r="AP81" s="52">
        <f t="shared" si="181"/>
        <v>2</v>
      </c>
      <c r="AQ81" s="52">
        <f t="shared" si="181"/>
        <v>2</v>
      </c>
      <c r="AR81" s="52">
        <f t="shared" si="181"/>
        <v>2</v>
      </c>
      <c r="AS81" s="52">
        <f t="shared" si="181"/>
        <v>2</v>
      </c>
      <c r="AT81" s="52">
        <f t="shared" si="181"/>
        <v>2</v>
      </c>
      <c r="AU81" s="52">
        <f t="shared" si="181"/>
        <v>2</v>
      </c>
      <c r="AV81" s="52">
        <f t="shared" si="181"/>
        <v>2</v>
      </c>
      <c r="AW81" s="52">
        <f t="shared" si="181"/>
        <v>2</v>
      </c>
      <c r="AX81" s="52">
        <f t="shared" si="181"/>
        <v>2</v>
      </c>
      <c r="AZ81" s="116">
        <f>($G$81/12)*O81</f>
        <v>13000</v>
      </c>
      <c r="BA81" s="116">
        <f aca="true" t="shared" si="182" ref="BA81:BK81">($G$81/12)*P81</f>
        <v>13000</v>
      </c>
      <c r="BB81" s="116">
        <f t="shared" si="182"/>
        <v>13000</v>
      </c>
      <c r="BC81" s="116">
        <f t="shared" si="182"/>
        <v>13000</v>
      </c>
      <c r="BD81" s="116">
        <f t="shared" si="182"/>
        <v>13000</v>
      </c>
      <c r="BE81" s="116">
        <f t="shared" si="182"/>
        <v>13000</v>
      </c>
      <c r="BF81" s="116">
        <f t="shared" si="182"/>
        <v>13000</v>
      </c>
      <c r="BG81" s="116">
        <f t="shared" si="182"/>
        <v>13000</v>
      </c>
      <c r="BH81" s="116">
        <f t="shared" si="182"/>
        <v>13000</v>
      </c>
      <c r="BI81" s="116">
        <f t="shared" si="182"/>
        <v>13000</v>
      </c>
      <c r="BJ81" s="116">
        <f t="shared" si="182"/>
        <v>13000</v>
      </c>
      <c r="BK81" s="116">
        <f t="shared" si="182"/>
        <v>13000</v>
      </c>
      <c r="BL81" s="116">
        <f>($H$81/12)*AA81</f>
        <v>13260</v>
      </c>
      <c r="BM81" s="116">
        <f aca="true" t="shared" si="183" ref="BM81:BW81">($H$81/12)*AB81</f>
        <v>13260</v>
      </c>
      <c r="BN81" s="116">
        <f t="shared" si="183"/>
        <v>13260</v>
      </c>
      <c r="BO81" s="116">
        <f t="shared" si="183"/>
        <v>13260</v>
      </c>
      <c r="BP81" s="116">
        <f t="shared" si="183"/>
        <v>13260</v>
      </c>
      <c r="BQ81" s="116">
        <f t="shared" si="183"/>
        <v>13260</v>
      </c>
      <c r="BR81" s="116">
        <f t="shared" si="183"/>
        <v>13260</v>
      </c>
      <c r="BS81" s="116">
        <f t="shared" si="183"/>
        <v>13260</v>
      </c>
      <c r="BT81" s="116">
        <f t="shared" si="183"/>
        <v>13260</v>
      </c>
      <c r="BU81" s="116">
        <f t="shared" si="183"/>
        <v>13260</v>
      </c>
      <c r="BV81" s="116">
        <f t="shared" si="183"/>
        <v>13260</v>
      </c>
      <c r="BW81" s="116">
        <f t="shared" si="183"/>
        <v>13260</v>
      </c>
      <c r="BX81" s="116">
        <f>($I$81/12)*AM81</f>
        <v>13525.199999999999</v>
      </c>
      <c r="BY81" s="116">
        <f aca="true" t="shared" si="184" ref="BY81:CI81">($I$81/12)*AN81</f>
        <v>13525.199999999999</v>
      </c>
      <c r="BZ81" s="116">
        <f t="shared" si="184"/>
        <v>13525.199999999999</v>
      </c>
      <c r="CA81" s="116">
        <f t="shared" si="184"/>
        <v>13525.199999999999</v>
      </c>
      <c r="CB81" s="116">
        <f t="shared" si="184"/>
        <v>13525.199999999999</v>
      </c>
      <c r="CC81" s="116">
        <f t="shared" si="184"/>
        <v>13525.199999999999</v>
      </c>
      <c r="CD81" s="116">
        <f t="shared" si="184"/>
        <v>13525.199999999999</v>
      </c>
      <c r="CE81" s="116">
        <f t="shared" si="184"/>
        <v>13525.199999999999</v>
      </c>
      <c r="CF81" s="116">
        <f t="shared" si="184"/>
        <v>13525.199999999999</v>
      </c>
      <c r="CG81" s="116">
        <f t="shared" si="184"/>
        <v>13525.199999999999</v>
      </c>
      <c r="CH81" s="116">
        <f t="shared" si="184"/>
        <v>13525.199999999999</v>
      </c>
      <c r="CI81" s="119">
        <f t="shared" si="184"/>
        <v>13525.199999999999</v>
      </c>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row>
    <row r="82" spans="1:114" s="52" customFormat="1" ht="12.75" customHeight="1">
      <c r="A82" s="38" t="s">
        <v>318</v>
      </c>
      <c r="B82" s="38">
        <f>SUM(B80:B81)</f>
        <v>3</v>
      </c>
      <c r="C82" s="52">
        <f>SUM(C80:C81)</f>
        <v>3</v>
      </c>
      <c r="D82" s="52">
        <f>SUM(D80:D81)</f>
        <v>3</v>
      </c>
      <c r="E82" s="248"/>
      <c r="F82" s="118"/>
      <c r="G82" s="116"/>
      <c r="H82" s="116"/>
      <c r="I82" s="116"/>
      <c r="J82" s="248"/>
      <c r="K82" s="214">
        <f>SUM(K80:K81)</f>
        <v>234000</v>
      </c>
      <c r="L82" s="215">
        <f>SUM(L80:L81)</f>
        <v>238680</v>
      </c>
      <c r="M82" s="215">
        <f>SUM(M80:M81)</f>
        <v>243453.60000000003</v>
      </c>
      <c r="N82" s="248"/>
      <c r="O82" s="52">
        <f aca="true" t="shared" si="185" ref="O82:AW82">SUM(O80:O81)</f>
        <v>3</v>
      </c>
      <c r="P82" s="52">
        <f t="shared" si="185"/>
        <v>3</v>
      </c>
      <c r="Q82" s="52">
        <f t="shared" si="185"/>
        <v>3</v>
      </c>
      <c r="R82" s="52">
        <f t="shared" si="185"/>
        <v>3</v>
      </c>
      <c r="S82" s="52">
        <f t="shared" si="185"/>
        <v>3</v>
      </c>
      <c r="T82" s="52">
        <f t="shared" si="185"/>
        <v>3</v>
      </c>
      <c r="U82" s="52">
        <f t="shared" si="185"/>
        <v>3</v>
      </c>
      <c r="V82" s="52">
        <f t="shared" si="185"/>
        <v>3</v>
      </c>
      <c r="W82" s="52">
        <f t="shared" si="185"/>
        <v>3</v>
      </c>
      <c r="X82" s="52">
        <f t="shared" si="185"/>
        <v>3</v>
      </c>
      <c r="Y82" s="52">
        <f t="shared" si="185"/>
        <v>3</v>
      </c>
      <c r="Z82" s="52">
        <f t="shared" si="185"/>
        <v>3</v>
      </c>
      <c r="AA82" s="52">
        <f t="shared" si="185"/>
        <v>3</v>
      </c>
      <c r="AB82" s="52">
        <f t="shared" si="185"/>
        <v>3</v>
      </c>
      <c r="AC82" s="52">
        <f t="shared" si="185"/>
        <v>3</v>
      </c>
      <c r="AD82" s="52">
        <f t="shared" si="185"/>
        <v>3</v>
      </c>
      <c r="AE82" s="52">
        <f t="shared" si="185"/>
        <v>3</v>
      </c>
      <c r="AF82" s="52">
        <f t="shared" si="185"/>
        <v>3</v>
      </c>
      <c r="AG82" s="52">
        <f t="shared" si="185"/>
        <v>3</v>
      </c>
      <c r="AH82" s="52">
        <f t="shared" si="185"/>
        <v>3</v>
      </c>
      <c r="AI82" s="52">
        <f t="shared" si="185"/>
        <v>3</v>
      </c>
      <c r="AJ82" s="52">
        <f t="shared" si="185"/>
        <v>3</v>
      </c>
      <c r="AK82" s="52">
        <f t="shared" si="185"/>
        <v>3</v>
      </c>
      <c r="AL82" s="52">
        <f t="shared" si="185"/>
        <v>3</v>
      </c>
      <c r="AM82" s="52">
        <f t="shared" si="185"/>
        <v>3</v>
      </c>
      <c r="AN82" s="52">
        <f t="shared" si="185"/>
        <v>3</v>
      </c>
      <c r="AO82" s="52">
        <f t="shared" si="185"/>
        <v>3</v>
      </c>
      <c r="AP82" s="52">
        <f t="shared" si="185"/>
        <v>3</v>
      </c>
      <c r="AQ82" s="52">
        <f t="shared" si="185"/>
        <v>3</v>
      </c>
      <c r="AR82" s="52">
        <f t="shared" si="185"/>
        <v>3</v>
      </c>
      <c r="AS82" s="52">
        <f t="shared" si="185"/>
        <v>3</v>
      </c>
      <c r="AT82" s="52">
        <f t="shared" si="185"/>
        <v>3</v>
      </c>
      <c r="AU82" s="52">
        <f t="shared" si="185"/>
        <v>3</v>
      </c>
      <c r="AV82" s="52">
        <f t="shared" si="185"/>
        <v>3</v>
      </c>
      <c r="AW82" s="52">
        <f t="shared" si="185"/>
        <v>3</v>
      </c>
      <c r="AX82" s="52">
        <f>SUM(AX80:AX81)</f>
        <v>3</v>
      </c>
      <c r="AZ82" s="116">
        <f aca="true" t="shared" si="186" ref="AZ82:CH82">SUM(AZ80:AZ81)</f>
        <v>19500</v>
      </c>
      <c r="BA82" s="116">
        <f t="shared" si="186"/>
        <v>19500</v>
      </c>
      <c r="BB82" s="116">
        <f t="shared" si="186"/>
        <v>19500</v>
      </c>
      <c r="BC82" s="116">
        <f t="shared" si="186"/>
        <v>19500</v>
      </c>
      <c r="BD82" s="116">
        <f t="shared" si="186"/>
        <v>19500</v>
      </c>
      <c r="BE82" s="116">
        <f t="shared" si="186"/>
        <v>19500</v>
      </c>
      <c r="BF82" s="116">
        <f t="shared" si="186"/>
        <v>19500</v>
      </c>
      <c r="BG82" s="116">
        <f t="shared" si="186"/>
        <v>19500</v>
      </c>
      <c r="BH82" s="116">
        <f t="shared" si="186"/>
        <v>19500</v>
      </c>
      <c r="BI82" s="116">
        <f t="shared" si="186"/>
        <v>19500</v>
      </c>
      <c r="BJ82" s="116">
        <f t="shared" si="186"/>
        <v>19500</v>
      </c>
      <c r="BK82" s="116">
        <f t="shared" si="186"/>
        <v>19500</v>
      </c>
      <c r="BL82" s="116">
        <f t="shared" si="186"/>
        <v>19890</v>
      </c>
      <c r="BM82" s="116">
        <f t="shared" si="186"/>
        <v>19890</v>
      </c>
      <c r="BN82" s="116">
        <f t="shared" si="186"/>
        <v>19890</v>
      </c>
      <c r="BO82" s="116">
        <f t="shared" si="186"/>
        <v>19890</v>
      </c>
      <c r="BP82" s="116">
        <f t="shared" si="186"/>
        <v>19890</v>
      </c>
      <c r="BQ82" s="116">
        <f t="shared" si="186"/>
        <v>19890</v>
      </c>
      <c r="BR82" s="116">
        <f t="shared" si="186"/>
        <v>19890</v>
      </c>
      <c r="BS82" s="116">
        <f t="shared" si="186"/>
        <v>19890</v>
      </c>
      <c r="BT82" s="116">
        <f t="shared" si="186"/>
        <v>19890</v>
      </c>
      <c r="BU82" s="116">
        <f t="shared" si="186"/>
        <v>19890</v>
      </c>
      <c r="BV82" s="116">
        <f t="shared" si="186"/>
        <v>19890</v>
      </c>
      <c r="BW82" s="116">
        <f t="shared" si="186"/>
        <v>19890</v>
      </c>
      <c r="BX82" s="116">
        <f t="shared" si="186"/>
        <v>20287.8</v>
      </c>
      <c r="BY82" s="116">
        <f t="shared" si="186"/>
        <v>20287.8</v>
      </c>
      <c r="BZ82" s="116">
        <f t="shared" si="186"/>
        <v>20287.8</v>
      </c>
      <c r="CA82" s="116">
        <f t="shared" si="186"/>
        <v>20287.8</v>
      </c>
      <c r="CB82" s="116">
        <f t="shared" si="186"/>
        <v>20287.8</v>
      </c>
      <c r="CC82" s="116">
        <f t="shared" si="186"/>
        <v>20287.8</v>
      </c>
      <c r="CD82" s="116">
        <f t="shared" si="186"/>
        <v>20287.8</v>
      </c>
      <c r="CE82" s="116">
        <f t="shared" si="186"/>
        <v>20287.8</v>
      </c>
      <c r="CF82" s="116">
        <f t="shared" si="186"/>
        <v>20287.8</v>
      </c>
      <c r="CG82" s="116">
        <f t="shared" si="186"/>
        <v>20287.8</v>
      </c>
      <c r="CH82" s="116">
        <f t="shared" si="186"/>
        <v>20287.8</v>
      </c>
      <c r="CI82" s="119">
        <f>SUM(CI80:CI81)</f>
        <v>20287.8</v>
      </c>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row>
    <row r="83" spans="1:114" s="26" customFormat="1" ht="12.75" customHeight="1">
      <c r="A83" s="211" t="s">
        <v>196</v>
      </c>
      <c r="B83" s="32"/>
      <c r="E83" s="246"/>
      <c r="F83" s="111"/>
      <c r="G83" s="23"/>
      <c r="H83" s="23"/>
      <c r="I83" s="23"/>
      <c r="J83" s="246"/>
      <c r="K83" s="158">
        <f>K82*B5</f>
        <v>58500</v>
      </c>
      <c r="L83" s="153">
        <f>L82*C5</f>
        <v>59670</v>
      </c>
      <c r="M83" s="153">
        <f>M82*D5</f>
        <v>60863.40000000001</v>
      </c>
      <c r="N83" s="246"/>
      <c r="AZ83" s="23">
        <f aca="true" t="shared" si="187" ref="AZ83:BK83">AZ82*$B$5</f>
        <v>4875</v>
      </c>
      <c r="BA83" s="23">
        <f t="shared" si="187"/>
        <v>4875</v>
      </c>
      <c r="BB83" s="23">
        <f t="shared" si="187"/>
        <v>4875</v>
      </c>
      <c r="BC83" s="23">
        <f t="shared" si="187"/>
        <v>4875</v>
      </c>
      <c r="BD83" s="23">
        <f t="shared" si="187"/>
        <v>4875</v>
      </c>
      <c r="BE83" s="23">
        <f t="shared" si="187"/>
        <v>4875</v>
      </c>
      <c r="BF83" s="23">
        <f t="shared" si="187"/>
        <v>4875</v>
      </c>
      <c r="BG83" s="23">
        <f t="shared" si="187"/>
        <v>4875</v>
      </c>
      <c r="BH83" s="23">
        <f t="shared" si="187"/>
        <v>4875</v>
      </c>
      <c r="BI83" s="23">
        <f t="shared" si="187"/>
        <v>4875</v>
      </c>
      <c r="BJ83" s="23">
        <f t="shared" si="187"/>
        <v>4875</v>
      </c>
      <c r="BK83" s="23">
        <f t="shared" si="187"/>
        <v>4875</v>
      </c>
      <c r="BL83" s="23">
        <f aca="true" t="shared" si="188" ref="BL83:BW83">BL82*$C$5</f>
        <v>4972.5</v>
      </c>
      <c r="BM83" s="23">
        <f t="shared" si="188"/>
        <v>4972.5</v>
      </c>
      <c r="BN83" s="23">
        <f t="shared" si="188"/>
        <v>4972.5</v>
      </c>
      <c r="BO83" s="23">
        <f t="shared" si="188"/>
        <v>4972.5</v>
      </c>
      <c r="BP83" s="23">
        <f t="shared" si="188"/>
        <v>4972.5</v>
      </c>
      <c r="BQ83" s="23">
        <f t="shared" si="188"/>
        <v>4972.5</v>
      </c>
      <c r="BR83" s="23">
        <f t="shared" si="188"/>
        <v>4972.5</v>
      </c>
      <c r="BS83" s="23">
        <f t="shared" si="188"/>
        <v>4972.5</v>
      </c>
      <c r="BT83" s="23">
        <f t="shared" si="188"/>
        <v>4972.5</v>
      </c>
      <c r="BU83" s="23">
        <f t="shared" si="188"/>
        <v>4972.5</v>
      </c>
      <c r="BV83" s="23">
        <f t="shared" si="188"/>
        <v>4972.5</v>
      </c>
      <c r="BW83" s="23">
        <f t="shared" si="188"/>
        <v>4972.5</v>
      </c>
      <c r="BX83" s="23">
        <f aca="true" t="shared" si="189" ref="BX83:CI83">BX82*$D$5</f>
        <v>5071.95</v>
      </c>
      <c r="BY83" s="23">
        <f t="shared" si="189"/>
        <v>5071.95</v>
      </c>
      <c r="BZ83" s="23">
        <f t="shared" si="189"/>
        <v>5071.95</v>
      </c>
      <c r="CA83" s="23">
        <f t="shared" si="189"/>
        <v>5071.95</v>
      </c>
      <c r="CB83" s="23">
        <f t="shared" si="189"/>
        <v>5071.95</v>
      </c>
      <c r="CC83" s="23">
        <f t="shared" si="189"/>
        <v>5071.95</v>
      </c>
      <c r="CD83" s="23">
        <f t="shared" si="189"/>
        <v>5071.95</v>
      </c>
      <c r="CE83" s="23">
        <f t="shared" si="189"/>
        <v>5071.95</v>
      </c>
      <c r="CF83" s="23">
        <f t="shared" si="189"/>
        <v>5071.95</v>
      </c>
      <c r="CG83" s="23">
        <f t="shared" si="189"/>
        <v>5071.95</v>
      </c>
      <c r="CH83" s="23">
        <f t="shared" si="189"/>
        <v>5071.95</v>
      </c>
      <c r="CI83" s="112">
        <f t="shared" si="189"/>
        <v>5071.95</v>
      </c>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row>
    <row r="84" spans="1:114" s="26" customFormat="1" ht="12.75" customHeight="1" thickBot="1">
      <c r="A84" s="265" t="s">
        <v>264</v>
      </c>
      <c r="B84" s="159"/>
      <c r="C84" s="138"/>
      <c r="D84" s="138"/>
      <c r="E84" s="256"/>
      <c r="F84" s="125"/>
      <c r="G84" s="126"/>
      <c r="H84" s="126"/>
      <c r="I84" s="126"/>
      <c r="J84" s="256"/>
      <c r="K84" s="257">
        <f>K82+K83</f>
        <v>292500</v>
      </c>
      <c r="L84" s="258">
        <f>L82+L83</f>
        <v>298350</v>
      </c>
      <c r="M84" s="258">
        <f>M82+M83</f>
        <v>304317.00000000006</v>
      </c>
      <c r="N84" s="256"/>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26">
        <f aca="true" t="shared" si="190" ref="AZ84:CI84">AZ82+AZ83</f>
        <v>24375</v>
      </c>
      <c r="BA84" s="126">
        <f t="shared" si="190"/>
        <v>24375</v>
      </c>
      <c r="BB84" s="126">
        <f t="shared" si="190"/>
        <v>24375</v>
      </c>
      <c r="BC84" s="126">
        <f t="shared" si="190"/>
        <v>24375</v>
      </c>
      <c r="BD84" s="126">
        <f t="shared" si="190"/>
        <v>24375</v>
      </c>
      <c r="BE84" s="126">
        <f t="shared" si="190"/>
        <v>24375</v>
      </c>
      <c r="BF84" s="126">
        <f t="shared" si="190"/>
        <v>24375</v>
      </c>
      <c r="BG84" s="126">
        <f t="shared" si="190"/>
        <v>24375</v>
      </c>
      <c r="BH84" s="126">
        <f t="shared" si="190"/>
        <v>24375</v>
      </c>
      <c r="BI84" s="126">
        <f t="shared" si="190"/>
        <v>24375</v>
      </c>
      <c r="BJ84" s="126">
        <f t="shared" si="190"/>
        <v>24375</v>
      </c>
      <c r="BK84" s="126">
        <f t="shared" si="190"/>
        <v>24375</v>
      </c>
      <c r="BL84" s="126">
        <f t="shared" si="190"/>
        <v>24862.5</v>
      </c>
      <c r="BM84" s="126">
        <f t="shared" si="190"/>
        <v>24862.5</v>
      </c>
      <c r="BN84" s="126">
        <f t="shared" si="190"/>
        <v>24862.5</v>
      </c>
      <c r="BO84" s="126">
        <f t="shared" si="190"/>
        <v>24862.5</v>
      </c>
      <c r="BP84" s="126">
        <f t="shared" si="190"/>
        <v>24862.5</v>
      </c>
      <c r="BQ84" s="126">
        <f t="shared" si="190"/>
        <v>24862.5</v>
      </c>
      <c r="BR84" s="126">
        <f t="shared" si="190"/>
        <v>24862.5</v>
      </c>
      <c r="BS84" s="126">
        <f t="shared" si="190"/>
        <v>24862.5</v>
      </c>
      <c r="BT84" s="126">
        <f t="shared" si="190"/>
        <v>24862.5</v>
      </c>
      <c r="BU84" s="126">
        <f t="shared" si="190"/>
        <v>24862.5</v>
      </c>
      <c r="BV84" s="126">
        <f t="shared" si="190"/>
        <v>24862.5</v>
      </c>
      <c r="BW84" s="126">
        <f t="shared" si="190"/>
        <v>24862.5</v>
      </c>
      <c r="BX84" s="126">
        <f t="shared" si="190"/>
        <v>25359.75</v>
      </c>
      <c r="BY84" s="126">
        <f t="shared" si="190"/>
        <v>25359.75</v>
      </c>
      <c r="BZ84" s="126">
        <f t="shared" si="190"/>
        <v>25359.75</v>
      </c>
      <c r="CA84" s="126">
        <f t="shared" si="190"/>
        <v>25359.75</v>
      </c>
      <c r="CB84" s="126">
        <f t="shared" si="190"/>
        <v>25359.75</v>
      </c>
      <c r="CC84" s="126">
        <f t="shared" si="190"/>
        <v>25359.75</v>
      </c>
      <c r="CD84" s="126">
        <f t="shared" si="190"/>
        <v>25359.75</v>
      </c>
      <c r="CE84" s="126">
        <f t="shared" si="190"/>
        <v>25359.75</v>
      </c>
      <c r="CF84" s="126">
        <f t="shared" si="190"/>
        <v>25359.75</v>
      </c>
      <c r="CG84" s="126">
        <f t="shared" si="190"/>
        <v>25359.75</v>
      </c>
      <c r="CH84" s="126">
        <f t="shared" si="190"/>
        <v>25359.75</v>
      </c>
      <c r="CI84" s="127">
        <f t="shared" si="190"/>
        <v>25359.75</v>
      </c>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row>
    <row r="85" spans="1:87" ht="12.75" customHeight="1">
      <c r="A85" s="208"/>
      <c r="B85" s="208"/>
      <c r="C85" s="209"/>
      <c r="D85" s="209"/>
      <c r="E85" s="254"/>
      <c r="F85" s="259"/>
      <c r="G85" s="260"/>
      <c r="H85" s="260"/>
      <c r="I85" s="260"/>
      <c r="J85" s="254"/>
      <c r="K85" s="261"/>
      <c r="L85" s="262"/>
      <c r="M85" s="262"/>
      <c r="N85" s="26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row>
    <row r="86" spans="1:87" s="217" customFormat="1" ht="12.75" customHeight="1" thickBot="1">
      <c r="A86" s="218"/>
      <c r="B86" s="218"/>
      <c r="E86" s="249"/>
      <c r="F86" s="219"/>
      <c r="G86" s="220"/>
      <c r="H86" s="220"/>
      <c r="I86" s="220"/>
      <c r="J86" s="249"/>
      <c r="K86" s="218"/>
      <c r="N86" s="267"/>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0"/>
      <c r="CE86" s="220"/>
      <c r="CF86" s="220"/>
      <c r="CG86" s="220"/>
      <c r="CH86" s="220"/>
      <c r="CI86" s="220"/>
    </row>
    <row r="87" spans="1:87" ht="12.75" customHeight="1" thickTop="1">
      <c r="A87" s="162" t="s">
        <v>338</v>
      </c>
      <c r="B87" s="221">
        <f>B61+B68+B75+B82</f>
        <v>40</v>
      </c>
      <c r="C87" s="222">
        <f>C61+C68+C75+C82</f>
        <v>47</v>
      </c>
      <c r="D87" s="222">
        <f>D61+D68+D75+D82</f>
        <v>54</v>
      </c>
      <c r="E87" s="80"/>
      <c r="F87" s="162"/>
      <c r="G87" s="223"/>
      <c r="H87" s="224"/>
      <c r="I87" s="224"/>
      <c r="J87" s="246"/>
      <c r="K87" s="32"/>
      <c r="L87" s="26"/>
      <c r="M87" s="26"/>
      <c r="N87" s="268"/>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row>
    <row r="88" spans="1:87" ht="12.75" customHeight="1">
      <c r="A88" s="57" t="s">
        <v>378</v>
      </c>
      <c r="B88" s="32"/>
      <c r="C88" s="26"/>
      <c r="D88" s="26"/>
      <c r="E88" s="246"/>
      <c r="F88" s="32"/>
      <c r="G88" s="26"/>
      <c r="H88" s="26"/>
      <c r="I88" s="26"/>
      <c r="J88" s="246"/>
      <c r="K88" s="226">
        <f>K63+K70+K77+K84</f>
        <v>3900000</v>
      </c>
      <c r="L88" s="227">
        <f>L63+L70+L77+L84</f>
        <v>4674150</v>
      </c>
      <c r="M88" s="227">
        <f>M63+M70+M77+M84</f>
        <v>5477705.999999999</v>
      </c>
      <c r="N88" s="268"/>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row>
    <row r="89" spans="1:87" ht="12.75" customHeight="1" thickBot="1">
      <c r="A89" s="159"/>
      <c r="B89" s="159"/>
      <c r="C89" s="138"/>
      <c r="D89" s="138"/>
      <c r="E89" s="256"/>
      <c r="F89" s="159"/>
      <c r="G89" s="138"/>
      <c r="H89" s="138"/>
      <c r="I89" s="138"/>
      <c r="J89" s="256"/>
      <c r="K89" s="159"/>
      <c r="L89" s="138"/>
      <c r="M89" s="138"/>
      <c r="N89" s="269"/>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row>
    <row r="91" spans="1:87" ht="12.75" customHeight="1">
      <c r="A91" s="228" t="s">
        <v>379</v>
      </c>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row>
    <row r="93" ht="12.75" customHeight="1" thickBot="1">
      <c r="K93" s="136"/>
    </row>
    <row r="94" spans="1:87" ht="12.75">
      <c r="A94" s="270" t="s">
        <v>382</v>
      </c>
      <c r="B94" s="208" t="s">
        <v>333</v>
      </c>
      <c r="C94" s="209"/>
      <c r="D94" s="209"/>
      <c r="E94" s="254"/>
      <c r="F94" s="208" t="s">
        <v>269</v>
      </c>
      <c r="G94" s="209"/>
      <c r="H94" s="209"/>
      <c r="I94" s="209"/>
      <c r="J94" s="254"/>
      <c r="K94" s="208" t="s">
        <v>154</v>
      </c>
      <c r="L94" s="209"/>
      <c r="M94" s="209"/>
      <c r="N94" s="254"/>
      <c r="O94" s="54" t="s">
        <v>319</v>
      </c>
      <c r="P94" s="54"/>
      <c r="Q94" s="54"/>
      <c r="R94" s="54"/>
      <c r="S94" s="54"/>
      <c r="T94" s="54"/>
      <c r="U94" s="54"/>
      <c r="V94" s="54"/>
      <c r="W94" s="54"/>
      <c r="X94" s="54"/>
      <c r="Y94" s="54"/>
      <c r="Z94" s="54"/>
      <c r="AA94" s="54" t="s">
        <v>320</v>
      </c>
      <c r="AB94" s="54"/>
      <c r="AC94" s="54"/>
      <c r="AD94" s="54"/>
      <c r="AE94" s="54"/>
      <c r="AF94" s="54"/>
      <c r="AG94" s="54"/>
      <c r="AH94" s="54"/>
      <c r="AI94" s="54"/>
      <c r="AJ94" s="54"/>
      <c r="AK94" s="54"/>
      <c r="AL94" s="54"/>
      <c r="AM94" s="54" t="s">
        <v>321</v>
      </c>
      <c r="AN94" s="54"/>
      <c r="AO94" s="54"/>
      <c r="AP94" s="54"/>
      <c r="AQ94" s="54"/>
      <c r="AR94" s="54"/>
      <c r="AS94" s="54"/>
      <c r="AT94" s="54"/>
      <c r="AU94" s="54"/>
      <c r="AV94" s="54"/>
      <c r="AW94" s="54"/>
      <c r="AX94" s="54"/>
      <c r="AY94" s="209"/>
      <c r="AZ94" s="255" t="s">
        <v>319</v>
      </c>
      <c r="BA94" s="209"/>
      <c r="BB94" s="209"/>
      <c r="BC94" s="209"/>
      <c r="BD94" s="54"/>
      <c r="BE94" s="54"/>
      <c r="BF94" s="54"/>
      <c r="BG94" s="54"/>
      <c r="BH94" s="54"/>
      <c r="BI94" s="54"/>
      <c r="BJ94" s="54"/>
      <c r="BK94" s="54"/>
      <c r="BL94" s="255" t="s">
        <v>320</v>
      </c>
      <c r="BM94" s="209"/>
      <c r="BN94" s="209"/>
      <c r="BO94" s="209"/>
      <c r="BP94" s="54"/>
      <c r="BQ94" s="54"/>
      <c r="BR94" s="54"/>
      <c r="BS94" s="54"/>
      <c r="BT94" s="54"/>
      <c r="BU94" s="54"/>
      <c r="BV94" s="54"/>
      <c r="BW94" s="54"/>
      <c r="BX94" s="255" t="s">
        <v>321</v>
      </c>
      <c r="BY94" s="209"/>
      <c r="BZ94" s="209"/>
      <c r="CA94" s="209"/>
      <c r="CB94" s="54"/>
      <c r="CC94" s="54"/>
      <c r="CD94" s="54"/>
      <c r="CE94" s="54"/>
      <c r="CF94" s="54"/>
      <c r="CG94" s="54"/>
      <c r="CH94" s="54"/>
      <c r="CI94" s="39"/>
    </row>
    <row r="95" spans="1:87" ht="12.75">
      <c r="A95" s="32"/>
      <c r="B95" s="32" t="s">
        <v>319</v>
      </c>
      <c r="C95" s="26" t="s">
        <v>320</v>
      </c>
      <c r="D95" s="26" t="s">
        <v>321</v>
      </c>
      <c r="E95" s="246"/>
      <c r="F95" s="210" t="s">
        <v>383</v>
      </c>
      <c r="G95" s="55" t="s">
        <v>319</v>
      </c>
      <c r="H95" s="55" t="s">
        <v>320</v>
      </c>
      <c r="I95" s="55" t="s">
        <v>321</v>
      </c>
      <c r="J95" s="246"/>
      <c r="K95" s="32" t="s">
        <v>319</v>
      </c>
      <c r="L95" s="26" t="s">
        <v>320</v>
      </c>
      <c r="M95" s="26" t="s">
        <v>321</v>
      </c>
      <c r="N95" s="246"/>
      <c r="O95" s="41" t="s">
        <v>323</v>
      </c>
      <c r="P95" s="41" t="s">
        <v>324</v>
      </c>
      <c r="Q95" s="41" t="s">
        <v>325</v>
      </c>
      <c r="R95" s="41" t="s">
        <v>326</v>
      </c>
      <c r="S95" s="41" t="s">
        <v>130</v>
      </c>
      <c r="T95" s="41" t="s">
        <v>131</v>
      </c>
      <c r="U95" s="41" t="s">
        <v>132</v>
      </c>
      <c r="V95" s="41" t="s">
        <v>133</v>
      </c>
      <c r="W95" s="41" t="s">
        <v>134</v>
      </c>
      <c r="X95" s="41" t="s">
        <v>135</v>
      </c>
      <c r="Y95" s="41" t="s">
        <v>136</v>
      </c>
      <c r="Z95" s="41" t="s">
        <v>137</v>
      </c>
      <c r="AA95" s="41" t="s">
        <v>323</v>
      </c>
      <c r="AB95" s="41" t="s">
        <v>324</v>
      </c>
      <c r="AC95" s="41" t="s">
        <v>325</v>
      </c>
      <c r="AD95" s="41" t="s">
        <v>326</v>
      </c>
      <c r="AE95" s="41" t="s">
        <v>130</v>
      </c>
      <c r="AF95" s="41" t="s">
        <v>131</v>
      </c>
      <c r="AG95" s="41" t="s">
        <v>132</v>
      </c>
      <c r="AH95" s="41" t="s">
        <v>133</v>
      </c>
      <c r="AI95" s="41" t="s">
        <v>134</v>
      </c>
      <c r="AJ95" s="41" t="s">
        <v>135</v>
      </c>
      <c r="AK95" s="41" t="s">
        <v>136</v>
      </c>
      <c r="AL95" s="41" t="s">
        <v>137</v>
      </c>
      <c r="AM95" s="43" t="s">
        <v>323</v>
      </c>
      <c r="AN95" s="43" t="s">
        <v>324</v>
      </c>
      <c r="AO95" s="43" t="s">
        <v>325</v>
      </c>
      <c r="AP95" s="43" t="s">
        <v>326</v>
      </c>
      <c r="AQ95" s="43" t="s">
        <v>130</v>
      </c>
      <c r="AR95" s="43" t="s">
        <v>131</v>
      </c>
      <c r="AS95" s="43" t="s">
        <v>132</v>
      </c>
      <c r="AT95" s="43" t="s">
        <v>133</v>
      </c>
      <c r="AU95" s="43" t="s">
        <v>134</v>
      </c>
      <c r="AV95" s="43" t="s">
        <v>135</v>
      </c>
      <c r="AW95" s="43" t="s">
        <v>136</v>
      </c>
      <c r="AX95" s="43" t="s">
        <v>137</v>
      </c>
      <c r="AY95" s="26"/>
      <c r="AZ95" s="41" t="s">
        <v>323</v>
      </c>
      <c r="BA95" s="41" t="s">
        <v>324</v>
      </c>
      <c r="BB95" s="41" t="s">
        <v>325</v>
      </c>
      <c r="BC95" s="41" t="s">
        <v>326</v>
      </c>
      <c r="BD95" s="41" t="s">
        <v>130</v>
      </c>
      <c r="BE95" s="41" t="s">
        <v>131</v>
      </c>
      <c r="BF95" s="41" t="s">
        <v>132</v>
      </c>
      <c r="BG95" s="41" t="s">
        <v>133</v>
      </c>
      <c r="BH95" s="41" t="s">
        <v>134</v>
      </c>
      <c r="BI95" s="41" t="s">
        <v>135</v>
      </c>
      <c r="BJ95" s="41" t="s">
        <v>136</v>
      </c>
      <c r="BK95" s="41" t="s">
        <v>137</v>
      </c>
      <c r="BL95" s="41" t="s">
        <v>323</v>
      </c>
      <c r="BM95" s="41" t="s">
        <v>324</v>
      </c>
      <c r="BN95" s="41" t="s">
        <v>325</v>
      </c>
      <c r="BO95" s="41" t="s">
        <v>326</v>
      </c>
      <c r="BP95" s="41" t="s">
        <v>130</v>
      </c>
      <c r="BQ95" s="41" t="s">
        <v>131</v>
      </c>
      <c r="BR95" s="41" t="s">
        <v>132</v>
      </c>
      <c r="BS95" s="41" t="s">
        <v>133</v>
      </c>
      <c r="BT95" s="41" t="s">
        <v>134</v>
      </c>
      <c r="BU95" s="41" t="s">
        <v>135</v>
      </c>
      <c r="BV95" s="41" t="s">
        <v>136</v>
      </c>
      <c r="BW95" s="41" t="s">
        <v>137</v>
      </c>
      <c r="BX95" s="43" t="s">
        <v>323</v>
      </c>
      <c r="BY95" s="43" t="s">
        <v>324</v>
      </c>
      <c r="BZ95" s="43" t="s">
        <v>325</v>
      </c>
      <c r="CA95" s="43" t="s">
        <v>326</v>
      </c>
      <c r="CB95" s="43" t="s">
        <v>130</v>
      </c>
      <c r="CC95" s="43" t="s">
        <v>131</v>
      </c>
      <c r="CD95" s="43" t="s">
        <v>132</v>
      </c>
      <c r="CE95" s="43" t="s">
        <v>133</v>
      </c>
      <c r="CF95" s="43" t="s">
        <v>134</v>
      </c>
      <c r="CG95" s="43" t="s">
        <v>135</v>
      </c>
      <c r="CH95" s="43" t="s">
        <v>136</v>
      </c>
      <c r="CI95" s="106" t="s">
        <v>137</v>
      </c>
    </row>
    <row r="96" spans="1:87" ht="12.75">
      <c r="A96" s="271" t="s">
        <v>384</v>
      </c>
      <c r="B96" s="32"/>
      <c r="C96" s="26"/>
      <c r="D96" s="26"/>
      <c r="E96" s="246"/>
      <c r="F96" s="111"/>
      <c r="G96" s="23"/>
      <c r="H96" s="23"/>
      <c r="I96" s="23"/>
      <c r="J96" s="246"/>
      <c r="K96" s="32"/>
      <c r="L96" s="26"/>
      <c r="M96" s="26"/>
      <c r="N96" s="24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112"/>
    </row>
    <row r="97" spans="1:87" ht="12.75">
      <c r="A97" s="32" t="s">
        <v>385</v>
      </c>
      <c r="B97" s="234">
        <v>0.5</v>
      </c>
      <c r="C97" s="235">
        <v>0.5</v>
      </c>
      <c r="D97" s="235">
        <v>0.5</v>
      </c>
      <c r="E97" s="246"/>
      <c r="F97" s="238">
        <v>40000</v>
      </c>
      <c r="G97" s="23">
        <f>F97</f>
        <v>40000</v>
      </c>
      <c r="H97" s="23">
        <f>G97*(1+C4)</f>
        <v>40800</v>
      </c>
      <c r="I97" s="23">
        <f>H97*(1+D4)</f>
        <v>41616</v>
      </c>
      <c r="J97" s="246"/>
      <c r="K97" s="158">
        <f>SUM(AZ97:BK97)</f>
        <v>20000</v>
      </c>
      <c r="L97" s="153">
        <f>SUM(BL97:BW97)</f>
        <v>20400</v>
      </c>
      <c r="M97" s="153">
        <f>SUM(BX97:CI97)</f>
        <v>20808</v>
      </c>
      <c r="N97" s="246"/>
      <c r="O97" s="26">
        <f>$B$97</f>
        <v>0.5</v>
      </c>
      <c r="P97" s="26">
        <f aca="true" t="shared" si="191" ref="P97:Z97">$B$97</f>
        <v>0.5</v>
      </c>
      <c r="Q97" s="26">
        <f t="shared" si="191"/>
        <v>0.5</v>
      </c>
      <c r="R97" s="26">
        <f t="shared" si="191"/>
        <v>0.5</v>
      </c>
      <c r="S97" s="26">
        <f t="shared" si="191"/>
        <v>0.5</v>
      </c>
      <c r="T97" s="26">
        <f t="shared" si="191"/>
        <v>0.5</v>
      </c>
      <c r="U97" s="26">
        <f t="shared" si="191"/>
        <v>0.5</v>
      </c>
      <c r="V97" s="26">
        <f t="shared" si="191"/>
        <v>0.5</v>
      </c>
      <c r="W97" s="26">
        <f t="shared" si="191"/>
        <v>0.5</v>
      </c>
      <c r="X97" s="26">
        <f t="shared" si="191"/>
        <v>0.5</v>
      </c>
      <c r="Y97" s="26">
        <f t="shared" si="191"/>
        <v>0.5</v>
      </c>
      <c r="Z97" s="26">
        <f t="shared" si="191"/>
        <v>0.5</v>
      </c>
      <c r="AA97" s="26">
        <f>$C$97</f>
        <v>0.5</v>
      </c>
      <c r="AB97" s="26">
        <f aca="true" t="shared" si="192" ref="AB97:AL97">$C$97</f>
        <v>0.5</v>
      </c>
      <c r="AC97" s="26">
        <f t="shared" si="192"/>
        <v>0.5</v>
      </c>
      <c r="AD97" s="26">
        <f t="shared" si="192"/>
        <v>0.5</v>
      </c>
      <c r="AE97" s="26">
        <f t="shared" si="192"/>
        <v>0.5</v>
      </c>
      <c r="AF97" s="26">
        <f t="shared" si="192"/>
        <v>0.5</v>
      </c>
      <c r="AG97" s="26">
        <f t="shared" si="192"/>
        <v>0.5</v>
      </c>
      <c r="AH97" s="26">
        <f t="shared" si="192"/>
        <v>0.5</v>
      </c>
      <c r="AI97" s="26">
        <f t="shared" si="192"/>
        <v>0.5</v>
      </c>
      <c r="AJ97" s="26">
        <f t="shared" si="192"/>
        <v>0.5</v>
      </c>
      <c r="AK97" s="26">
        <f t="shared" si="192"/>
        <v>0.5</v>
      </c>
      <c r="AL97" s="26">
        <f t="shared" si="192"/>
        <v>0.5</v>
      </c>
      <c r="AM97" s="26">
        <f>$D$97</f>
        <v>0.5</v>
      </c>
      <c r="AN97" s="26">
        <f aca="true" t="shared" si="193" ref="AN97:AX97">$D$97</f>
        <v>0.5</v>
      </c>
      <c r="AO97" s="26">
        <f t="shared" si="193"/>
        <v>0.5</v>
      </c>
      <c r="AP97" s="26">
        <f t="shared" si="193"/>
        <v>0.5</v>
      </c>
      <c r="AQ97" s="26">
        <f t="shared" si="193"/>
        <v>0.5</v>
      </c>
      <c r="AR97" s="26">
        <f t="shared" si="193"/>
        <v>0.5</v>
      </c>
      <c r="AS97" s="26">
        <f t="shared" si="193"/>
        <v>0.5</v>
      </c>
      <c r="AT97" s="26">
        <f t="shared" si="193"/>
        <v>0.5</v>
      </c>
      <c r="AU97" s="26">
        <f t="shared" si="193"/>
        <v>0.5</v>
      </c>
      <c r="AV97" s="26">
        <f t="shared" si="193"/>
        <v>0.5</v>
      </c>
      <c r="AW97" s="26">
        <f t="shared" si="193"/>
        <v>0.5</v>
      </c>
      <c r="AX97" s="26">
        <f t="shared" si="193"/>
        <v>0.5</v>
      </c>
      <c r="AY97" s="26"/>
      <c r="AZ97" s="23">
        <f>($G$97/12)*O97</f>
        <v>1666.6666666666667</v>
      </c>
      <c r="BA97" s="23">
        <f aca="true" t="shared" si="194" ref="BA97:BK97">($G$97/12)*P97</f>
        <v>1666.6666666666667</v>
      </c>
      <c r="BB97" s="23">
        <f t="shared" si="194"/>
        <v>1666.6666666666667</v>
      </c>
      <c r="BC97" s="23">
        <f t="shared" si="194"/>
        <v>1666.6666666666667</v>
      </c>
      <c r="BD97" s="23">
        <f t="shared" si="194"/>
        <v>1666.6666666666667</v>
      </c>
      <c r="BE97" s="23">
        <f t="shared" si="194"/>
        <v>1666.6666666666667</v>
      </c>
      <c r="BF97" s="23">
        <f t="shared" si="194"/>
        <v>1666.6666666666667</v>
      </c>
      <c r="BG97" s="23">
        <f t="shared" si="194"/>
        <v>1666.6666666666667</v>
      </c>
      <c r="BH97" s="23">
        <f t="shared" si="194"/>
        <v>1666.6666666666667</v>
      </c>
      <c r="BI97" s="23">
        <f t="shared" si="194"/>
        <v>1666.6666666666667</v>
      </c>
      <c r="BJ97" s="23">
        <f t="shared" si="194"/>
        <v>1666.6666666666667</v>
      </c>
      <c r="BK97" s="23">
        <f t="shared" si="194"/>
        <v>1666.6666666666667</v>
      </c>
      <c r="BL97" s="23">
        <f>($H$97/12)*AA97</f>
        <v>1700</v>
      </c>
      <c r="BM97" s="23">
        <f aca="true" t="shared" si="195" ref="BM97:BW97">($H$97/12)*AB97</f>
        <v>1700</v>
      </c>
      <c r="BN97" s="23">
        <f t="shared" si="195"/>
        <v>1700</v>
      </c>
      <c r="BO97" s="23">
        <f t="shared" si="195"/>
        <v>1700</v>
      </c>
      <c r="BP97" s="23">
        <f t="shared" si="195"/>
        <v>1700</v>
      </c>
      <c r="BQ97" s="23">
        <f t="shared" si="195"/>
        <v>1700</v>
      </c>
      <c r="BR97" s="23">
        <f t="shared" si="195"/>
        <v>1700</v>
      </c>
      <c r="BS97" s="23">
        <f t="shared" si="195"/>
        <v>1700</v>
      </c>
      <c r="BT97" s="23">
        <f t="shared" si="195"/>
        <v>1700</v>
      </c>
      <c r="BU97" s="23">
        <f t="shared" si="195"/>
        <v>1700</v>
      </c>
      <c r="BV97" s="23">
        <f t="shared" si="195"/>
        <v>1700</v>
      </c>
      <c r="BW97" s="23">
        <f t="shared" si="195"/>
        <v>1700</v>
      </c>
      <c r="BX97" s="23">
        <f>($I$97/12)*AM97</f>
        <v>1734</v>
      </c>
      <c r="BY97" s="23">
        <f aca="true" t="shared" si="196" ref="BY97:CI97">($I$97/12)*AN97</f>
        <v>1734</v>
      </c>
      <c r="BZ97" s="23">
        <f t="shared" si="196"/>
        <v>1734</v>
      </c>
      <c r="CA97" s="23">
        <f t="shared" si="196"/>
        <v>1734</v>
      </c>
      <c r="CB97" s="23">
        <f t="shared" si="196"/>
        <v>1734</v>
      </c>
      <c r="CC97" s="23">
        <f t="shared" si="196"/>
        <v>1734</v>
      </c>
      <c r="CD97" s="23">
        <f t="shared" si="196"/>
        <v>1734</v>
      </c>
      <c r="CE97" s="23">
        <f t="shared" si="196"/>
        <v>1734</v>
      </c>
      <c r="CF97" s="23">
        <f t="shared" si="196"/>
        <v>1734</v>
      </c>
      <c r="CG97" s="23">
        <f t="shared" si="196"/>
        <v>1734</v>
      </c>
      <c r="CH97" s="23">
        <f t="shared" si="196"/>
        <v>1734</v>
      </c>
      <c r="CI97" s="112">
        <f t="shared" si="196"/>
        <v>1734</v>
      </c>
    </row>
    <row r="98" spans="1:114" s="240" customFormat="1" ht="12.75" customHeight="1">
      <c r="A98" s="241" t="s">
        <v>318</v>
      </c>
      <c r="B98" s="241">
        <f>SUM(B97:B97)</f>
        <v>0.5</v>
      </c>
      <c r="C98" s="240">
        <f>SUM(C97:C97)</f>
        <v>0.5</v>
      </c>
      <c r="D98" s="240">
        <f>SUM(D97:D97)</f>
        <v>0.5</v>
      </c>
      <c r="E98" s="247"/>
      <c r="F98" s="242"/>
      <c r="G98" s="243"/>
      <c r="H98" s="243"/>
      <c r="I98" s="243"/>
      <c r="J98" s="247"/>
      <c r="K98" s="244">
        <f>SUM(K97:K97)</f>
        <v>20000</v>
      </c>
      <c r="L98" s="245">
        <f>SUM(L97:L97)</f>
        <v>20400</v>
      </c>
      <c r="M98" s="245">
        <f>SUM(M97:M97)</f>
        <v>20808</v>
      </c>
      <c r="N98" s="247"/>
      <c r="O98" s="240">
        <f aca="true" t="shared" si="197" ref="O98:AX98">SUM(O97:O97)</f>
        <v>0.5</v>
      </c>
      <c r="P98" s="240">
        <f t="shared" si="197"/>
        <v>0.5</v>
      </c>
      <c r="Q98" s="240">
        <f t="shared" si="197"/>
        <v>0.5</v>
      </c>
      <c r="R98" s="240">
        <f t="shared" si="197"/>
        <v>0.5</v>
      </c>
      <c r="S98" s="240">
        <f t="shared" si="197"/>
        <v>0.5</v>
      </c>
      <c r="T98" s="240">
        <f t="shared" si="197"/>
        <v>0.5</v>
      </c>
      <c r="U98" s="240">
        <f t="shared" si="197"/>
        <v>0.5</v>
      </c>
      <c r="V98" s="240">
        <f t="shared" si="197"/>
        <v>0.5</v>
      </c>
      <c r="W98" s="240">
        <f t="shared" si="197"/>
        <v>0.5</v>
      </c>
      <c r="X98" s="240">
        <f t="shared" si="197"/>
        <v>0.5</v>
      </c>
      <c r="Y98" s="240">
        <f t="shared" si="197"/>
        <v>0.5</v>
      </c>
      <c r="Z98" s="240">
        <f t="shared" si="197"/>
        <v>0.5</v>
      </c>
      <c r="AA98" s="240">
        <f t="shared" si="197"/>
        <v>0.5</v>
      </c>
      <c r="AB98" s="240">
        <f t="shared" si="197"/>
        <v>0.5</v>
      </c>
      <c r="AC98" s="240">
        <f t="shared" si="197"/>
        <v>0.5</v>
      </c>
      <c r="AD98" s="240">
        <f t="shared" si="197"/>
        <v>0.5</v>
      </c>
      <c r="AE98" s="240">
        <f t="shared" si="197"/>
        <v>0.5</v>
      </c>
      <c r="AF98" s="240">
        <f t="shared" si="197"/>
        <v>0.5</v>
      </c>
      <c r="AG98" s="240">
        <f t="shared" si="197"/>
        <v>0.5</v>
      </c>
      <c r="AH98" s="240">
        <f t="shared" si="197"/>
        <v>0.5</v>
      </c>
      <c r="AI98" s="240">
        <f t="shared" si="197"/>
        <v>0.5</v>
      </c>
      <c r="AJ98" s="240">
        <f t="shared" si="197"/>
        <v>0.5</v>
      </c>
      <c r="AK98" s="240">
        <f t="shared" si="197"/>
        <v>0.5</v>
      </c>
      <c r="AL98" s="240">
        <f t="shared" si="197"/>
        <v>0.5</v>
      </c>
      <c r="AM98" s="240">
        <f t="shared" si="197"/>
        <v>0.5</v>
      </c>
      <c r="AN98" s="240">
        <f t="shared" si="197"/>
        <v>0.5</v>
      </c>
      <c r="AO98" s="240">
        <f t="shared" si="197"/>
        <v>0.5</v>
      </c>
      <c r="AP98" s="240">
        <f t="shared" si="197"/>
        <v>0.5</v>
      </c>
      <c r="AQ98" s="240">
        <f t="shared" si="197"/>
        <v>0.5</v>
      </c>
      <c r="AR98" s="240">
        <f t="shared" si="197"/>
        <v>0.5</v>
      </c>
      <c r="AS98" s="240">
        <f t="shared" si="197"/>
        <v>0.5</v>
      </c>
      <c r="AT98" s="240">
        <f t="shared" si="197"/>
        <v>0.5</v>
      </c>
      <c r="AU98" s="240">
        <f t="shared" si="197"/>
        <v>0.5</v>
      </c>
      <c r="AV98" s="240">
        <f t="shared" si="197"/>
        <v>0.5</v>
      </c>
      <c r="AW98" s="240">
        <f t="shared" si="197"/>
        <v>0.5</v>
      </c>
      <c r="AX98" s="240">
        <f t="shared" si="197"/>
        <v>0.5</v>
      </c>
      <c r="AZ98" s="243">
        <f aca="true" t="shared" si="198" ref="AZ98:CI98">SUM(AZ97:AZ97)</f>
        <v>1666.6666666666667</v>
      </c>
      <c r="BA98" s="243">
        <f t="shared" si="198"/>
        <v>1666.6666666666667</v>
      </c>
      <c r="BB98" s="243">
        <f t="shared" si="198"/>
        <v>1666.6666666666667</v>
      </c>
      <c r="BC98" s="243">
        <f t="shared" si="198"/>
        <v>1666.6666666666667</v>
      </c>
      <c r="BD98" s="243">
        <f t="shared" si="198"/>
        <v>1666.6666666666667</v>
      </c>
      <c r="BE98" s="243">
        <f t="shared" si="198"/>
        <v>1666.6666666666667</v>
      </c>
      <c r="BF98" s="243">
        <f t="shared" si="198"/>
        <v>1666.6666666666667</v>
      </c>
      <c r="BG98" s="243">
        <f t="shared" si="198"/>
        <v>1666.6666666666667</v>
      </c>
      <c r="BH98" s="243">
        <f t="shared" si="198"/>
        <v>1666.6666666666667</v>
      </c>
      <c r="BI98" s="243">
        <f t="shared" si="198"/>
        <v>1666.6666666666667</v>
      </c>
      <c r="BJ98" s="243">
        <f t="shared" si="198"/>
        <v>1666.6666666666667</v>
      </c>
      <c r="BK98" s="243">
        <f t="shared" si="198"/>
        <v>1666.6666666666667</v>
      </c>
      <c r="BL98" s="243">
        <f t="shared" si="198"/>
        <v>1700</v>
      </c>
      <c r="BM98" s="243">
        <f t="shared" si="198"/>
        <v>1700</v>
      </c>
      <c r="BN98" s="243">
        <f t="shared" si="198"/>
        <v>1700</v>
      </c>
      <c r="BO98" s="243">
        <f t="shared" si="198"/>
        <v>1700</v>
      </c>
      <c r="BP98" s="243">
        <f t="shared" si="198"/>
        <v>1700</v>
      </c>
      <c r="BQ98" s="243">
        <f t="shared" si="198"/>
        <v>1700</v>
      </c>
      <c r="BR98" s="243">
        <f t="shared" si="198"/>
        <v>1700</v>
      </c>
      <c r="BS98" s="243">
        <f t="shared" si="198"/>
        <v>1700</v>
      </c>
      <c r="BT98" s="243">
        <f t="shared" si="198"/>
        <v>1700</v>
      </c>
      <c r="BU98" s="243">
        <f t="shared" si="198"/>
        <v>1700</v>
      </c>
      <c r="BV98" s="243">
        <f t="shared" si="198"/>
        <v>1700</v>
      </c>
      <c r="BW98" s="243">
        <f t="shared" si="198"/>
        <v>1700</v>
      </c>
      <c r="BX98" s="243">
        <f t="shared" si="198"/>
        <v>1734</v>
      </c>
      <c r="BY98" s="243">
        <f t="shared" si="198"/>
        <v>1734</v>
      </c>
      <c r="BZ98" s="243">
        <f t="shared" si="198"/>
        <v>1734</v>
      </c>
      <c r="CA98" s="243">
        <f t="shared" si="198"/>
        <v>1734</v>
      </c>
      <c r="CB98" s="243">
        <f t="shared" si="198"/>
        <v>1734</v>
      </c>
      <c r="CC98" s="243">
        <f t="shared" si="198"/>
        <v>1734</v>
      </c>
      <c r="CD98" s="243">
        <f t="shared" si="198"/>
        <v>1734</v>
      </c>
      <c r="CE98" s="243">
        <f t="shared" si="198"/>
        <v>1734</v>
      </c>
      <c r="CF98" s="243">
        <f t="shared" si="198"/>
        <v>1734</v>
      </c>
      <c r="CG98" s="243">
        <f t="shared" si="198"/>
        <v>1734</v>
      </c>
      <c r="CH98" s="243">
        <f t="shared" si="198"/>
        <v>1734</v>
      </c>
      <c r="CI98" s="272">
        <f t="shared" si="198"/>
        <v>1734</v>
      </c>
      <c r="CJ98" s="243"/>
      <c r="CK98" s="243"/>
      <c r="CL98" s="243"/>
      <c r="CM98" s="243"/>
      <c r="CN98" s="243"/>
      <c r="CO98" s="243"/>
      <c r="CP98" s="243"/>
      <c r="CQ98" s="243"/>
      <c r="CR98" s="243"/>
      <c r="CS98" s="243"/>
      <c r="CT98" s="243"/>
      <c r="CU98" s="243"/>
      <c r="CV98" s="243"/>
      <c r="CW98" s="243"/>
      <c r="CX98" s="243"/>
      <c r="CY98" s="243"/>
      <c r="CZ98" s="243"/>
      <c r="DA98" s="243"/>
      <c r="DB98" s="243"/>
      <c r="DC98" s="243"/>
      <c r="DD98" s="243"/>
      <c r="DE98" s="243"/>
      <c r="DF98" s="243"/>
      <c r="DG98" s="243"/>
      <c r="DH98" s="243"/>
      <c r="DI98" s="243"/>
      <c r="DJ98" s="243"/>
    </row>
    <row r="99" spans="1:114" s="26" customFormat="1" ht="12.75" customHeight="1">
      <c r="A99" s="211" t="s">
        <v>196</v>
      </c>
      <c r="B99" s="32"/>
      <c r="E99" s="246"/>
      <c r="F99" s="111"/>
      <c r="G99" s="23"/>
      <c r="H99" s="23"/>
      <c r="I99" s="23"/>
      <c r="J99" s="246"/>
      <c r="K99" s="158">
        <f>K98*B5</f>
        <v>5000</v>
      </c>
      <c r="L99" s="153">
        <f>L98*C5</f>
        <v>5100</v>
      </c>
      <c r="M99" s="153">
        <f>M98*D5</f>
        <v>5202</v>
      </c>
      <c r="N99" s="246"/>
      <c r="AZ99" s="23">
        <f>AZ98*$B$5</f>
        <v>416.6666666666667</v>
      </c>
      <c r="BA99" s="23">
        <f aca="true" t="shared" si="199" ref="BA99:BK99">BA98*$B$5</f>
        <v>416.6666666666667</v>
      </c>
      <c r="BB99" s="23">
        <f t="shared" si="199"/>
        <v>416.6666666666667</v>
      </c>
      <c r="BC99" s="23">
        <f t="shared" si="199"/>
        <v>416.6666666666667</v>
      </c>
      <c r="BD99" s="23">
        <f t="shared" si="199"/>
        <v>416.6666666666667</v>
      </c>
      <c r="BE99" s="23">
        <f t="shared" si="199"/>
        <v>416.6666666666667</v>
      </c>
      <c r="BF99" s="23">
        <f t="shared" si="199"/>
        <v>416.6666666666667</v>
      </c>
      <c r="BG99" s="23">
        <f t="shared" si="199"/>
        <v>416.6666666666667</v>
      </c>
      <c r="BH99" s="23">
        <f t="shared" si="199"/>
        <v>416.6666666666667</v>
      </c>
      <c r="BI99" s="23">
        <f t="shared" si="199"/>
        <v>416.6666666666667</v>
      </c>
      <c r="BJ99" s="23">
        <f t="shared" si="199"/>
        <v>416.6666666666667</v>
      </c>
      <c r="BK99" s="23">
        <f t="shared" si="199"/>
        <v>416.6666666666667</v>
      </c>
      <c r="BL99" s="23">
        <f>BL98*$C$5</f>
        <v>425</v>
      </c>
      <c r="BM99" s="23">
        <f aca="true" t="shared" si="200" ref="BM99:BX99">BM98*$C$5</f>
        <v>425</v>
      </c>
      <c r="BN99" s="23">
        <f t="shared" si="200"/>
        <v>425</v>
      </c>
      <c r="BO99" s="23">
        <f t="shared" si="200"/>
        <v>425</v>
      </c>
      <c r="BP99" s="23">
        <f t="shared" si="200"/>
        <v>425</v>
      </c>
      <c r="BQ99" s="23">
        <f t="shared" si="200"/>
        <v>425</v>
      </c>
      <c r="BR99" s="23">
        <f t="shared" si="200"/>
        <v>425</v>
      </c>
      <c r="BS99" s="23">
        <f t="shared" si="200"/>
        <v>425</v>
      </c>
      <c r="BT99" s="23">
        <f t="shared" si="200"/>
        <v>425</v>
      </c>
      <c r="BU99" s="23">
        <f t="shared" si="200"/>
        <v>425</v>
      </c>
      <c r="BV99" s="23">
        <f t="shared" si="200"/>
        <v>425</v>
      </c>
      <c r="BW99" s="23">
        <f t="shared" si="200"/>
        <v>425</v>
      </c>
      <c r="BX99" s="23">
        <f t="shared" si="200"/>
        <v>433.5</v>
      </c>
      <c r="BY99" s="23">
        <f>BY98*$D$5</f>
        <v>433.5</v>
      </c>
      <c r="BZ99" s="23">
        <f aca="true" t="shared" si="201" ref="BZ99:CI99">BZ98*$D$5</f>
        <v>433.5</v>
      </c>
      <c r="CA99" s="23">
        <f t="shared" si="201"/>
        <v>433.5</v>
      </c>
      <c r="CB99" s="23">
        <f t="shared" si="201"/>
        <v>433.5</v>
      </c>
      <c r="CC99" s="23">
        <f t="shared" si="201"/>
        <v>433.5</v>
      </c>
      <c r="CD99" s="23">
        <f t="shared" si="201"/>
        <v>433.5</v>
      </c>
      <c r="CE99" s="23">
        <f t="shared" si="201"/>
        <v>433.5</v>
      </c>
      <c r="CF99" s="23">
        <f t="shared" si="201"/>
        <v>433.5</v>
      </c>
      <c r="CG99" s="23">
        <f t="shared" si="201"/>
        <v>433.5</v>
      </c>
      <c r="CH99" s="23">
        <f t="shared" si="201"/>
        <v>433.5</v>
      </c>
      <c r="CI99" s="112">
        <f t="shared" si="201"/>
        <v>433.5</v>
      </c>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row>
    <row r="100" spans="1:114" s="26" customFormat="1" ht="12.75" customHeight="1">
      <c r="A100" s="211" t="s">
        <v>386</v>
      </c>
      <c r="B100" s="32"/>
      <c r="E100" s="246"/>
      <c r="F100" s="111"/>
      <c r="G100" s="23"/>
      <c r="H100" s="23"/>
      <c r="I100" s="23"/>
      <c r="J100" s="246"/>
      <c r="K100" s="158">
        <f>K98+K99</f>
        <v>25000</v>
      </c>
      <c r="L100" s="153">
        <f>L98+L99</f>
        <v>25500</v>
      </c>
      <c r="M100" s="153">
        <f>M98+M99</f>
        <v>26010</v>
      </c>
      <c r="N100" s="246"/>
      <c r="AZ100" s="23">
        <f>AZ98+AZ99</f>
        <v>2083.3333333333335</v>
      </c>
      <c r="BA100" s="23">
        <f aca="true" t="shared" si="202" ref="BA100:CI100">BA98+BA99</f>
        <v>2083.3333333333335</v>
      </c>
      <c r="BB100" s="23">
        <f t="shared" si="202"/>
        <v>2083.3333333333335</v>
      </c>
      <c r="BC100" s="23">
        <f t="shared" si="202"/>
        <v>2083.3333333333335</v>
      </c>
      <c r="BD100" s="23">
        <f t="shared" si="202"/>
        <v>2083.3333333333335</v>
      </c>
      <c r="BE100" s="23">
        <f t="shared" si="202"/>
        <v>2083.3333333333335</v>
      </c>
      <c r="BF100" s="23">
        <f t="shared" si="202"/>
        <v>2083.3333333333335</v>
      </c>
      <c r="BG100" s="23">
        <f t="shared" si="202"/>
        <v>2083.3333333333335</v>
      </c>
      <c r="BH100" s="23">
        <f t="shared" si="202"/>
        <v>2083.3333333333335</v>
      </c>
      <c r="BI100" s="23">
        <f t="shared" si="202"/>
        <v>2083.3333333333335</v>
      </c>
      <c r="BJ100" s="23">
        <f t="shared" si="202"/>
        <v>2083.3333333333335</v>
      </c>
      <c r="BK100" s="23">
        <f t="shared" si="202"/>
        <v>2083.3333333333335</v>
      </c>
      <c r="BL100" s="23">
        <f t="shared" si="202"/>
        <v>2125</v>
      </c>
      <c r="BM100" s="23">
        <f t="shared" si="202"/>
        <v>2125</v>
      </c>
      <c r="BN100" s="23">
        <f t="shared" si="202"/>
        <v>2125</v>
      </c>
      <c r="BO100" s="23">
        <f t="shared" si="202"/>
        <v>2125</v>
      </c>
      <c r="BP100" s="23">
        <f t="shared" si="202"/>
        <v>2125</v>
      </c>
      <c r="BQ100" s="23">
        <f t="shared" si="202"/>
        <v>2125</v>
      </c>
      <c r="BR100" s="23">
        <f t="shared" si="202"/>
        <v>2125</v>
      </c>
      <c r="BS100" s="23">
        <f t="shared" si="202"/>
        <v>2125</v>
      </c>
      <c r="BT100" s="23">
        <f t="shared" si="202"/>
        <v>2125</v>
      </c>
      <c r="BU100" s="23">
        <f t="shared" si="202"/>
        <v>2125</v>
      </c>
      <c r="BV100" s="23">
        <f t="shared" si="202"/>
        <v>2125</v>
      </c>
      <c r="BW100" s="23">
        <f t="shared" si="202"/>
        <v>2125</v>
      </c>
      <c r="BX100" s="23">
        <f t="shared" si="202"/>
        <v>2167.5</v>
      </c>
      <c r="BY100" s="23">
        <f t="shared" si="202"/>
        <v>2167.5</v>
      </c>
      <c r="BZ100" s="23">
        <f t="shared" si="202"/>
        <v>2167.5</v>
      </c>
      <c r="CA100" s="23">
        <f t="shared" si="202"/>
        <v>2167.5</v>
      </c>
      <c r="CB100" s="23">
        <f t="shared" si="202"/>
        <v>2167.5</v>
      </c>
      <c r="CC100" s="23">
        <f t="shared" si="202"/>
        <v>2167.5</v>
      </c>
      <c r="CD100" s="23">
        <f t="shared" si="202"/>
        <v>2167.5</v>
      </c>
      <c r="CE100" s="23">
        <f t="shared" si="202"/>
        <v>2167.5</v>
      </c>
      <c r="CF100" s="23">
        <f t="shared" si="202"/>
        <v>2167.5</v>
      </c>
      <c r="CG100" s="23">
        <f t="shared" si="202"/>
        <v>2167.5</v>
      </c>
      <c r="CH100" s="23">
        <f t="shared" si="202"/>
        <v>2167.5</v>
      </c>
      <c r="CI100" s="112">
        <f t="shared" si="202"/>
        <v>2167.5</v>
      </c>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row>
    <row r="101" spans="1:87" ht="12.75">
      <c r="A101" s="32"/>
      <c r="B101" s="32"/>
      <c r="C101" s="26"/>
      <c r="D101" s="26"/>
      <c r="E101" s="246"/>
      <c r="F101" s="111"/>
      <c r="G101" s="23"/>
      <c r="H101" s="23"/>
      <c r="I101" s="23"/>
      <c r="J101" s="246"/>
      <c r="K101" s="32"/>
      <c r="L101" s="26"/>
      <c r="M101" s="26"/>
      <c r="N101" s="24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112"/>
    </row>
    <row r="102" spans="1:87" ht="12.75">
      <c r="A102" s="271" t="s">
        <v>113</v>
      </c>
      <c r="B102" s="32"/>
      <c r="C102" s="26"/>
      <c r="D102" s="26"/>
      <c r="E102" s="246"/>
      <c r="F102" s="111"/>
      <c r="G102" s="23"/>
      <c r="H102" s="23"/>
      <c r="I102" s="23"/>
      <c r="J102" s="246"/>
      <c r="K102" s="32"/>
      <c r="L102" s="26"/>
      <c r="M102" s="26"/>
      <c r="N102" s="24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112"/>
    </row>
    <row r="103" spans="1:87" s="26" customFormat="1" ht="12.75" customHeight="1">
      <c r="A103" s="32" t="s">
        <v>528</v>
      </c>
      <c r="B103" s="234">
        <v>1</v>
      </c>
      <c r="C103" s="235">
        <v>1</v>
      </c>
      <c r="D103" s="235">
        <v>1</v>
      </c>
      <c r="E103" s="246"/>
      <c r="F103" s="212">
        <f>F97</f>
        <v>40000</v>
      </c>
      <c r="G103" s="23">
        <f>F103</f>
        <v>40000</v>
      </c>
      <c r="H103" s="23">
        <f>G103*(1+$C$4)</f>
        <v>40800</v>
      </c>
      <c r="I103" s="23">
        <f>H103*(1+$D$4)</f>
        <v>41616</v>
      </c>
      <c r="J103" s="246"/>
      <c r="K103" s="158">
        <f>SUM(AZ103:BK103)</f>
        <v>40000</v>
      </c>
      <c r="L103" s="153">
        <f>SUM(BL103:BW103)</f>
        <v>40800</v>
      </c>
      <c r="M103" s="153">
        <f>SUM(BX103:CI103)</f>
        <v>41616</v>
      </c>
      <c r="N103" s="246"/>
      <c r="O103" s="26">
        <f>$B$103</f>
        <v>1</v>
      </c>
      <c r="P103" s="26">
        <f aca="true" t="shared" si="203" ref="P103:Z103">$B$103</f>
        <v>1</v>
      </c>
      <c r="Q103" s="26">
        <f t="shared" si="203"/>
        <v>1</v>
      </c>
      <c r="R103" s="26">
        <f t="shared" si="203"/>
        <v>1</v>
      </c>
      <c r="S103" s="26">
        <f t="shared" si="203"/>
        <v>1</v>
      </c>
      <c r="T103" s="26">
        <f t="shared" si="203"/>
        <v>1</v>
      </c>
      <c r="U103" s="26">
        <f t="shared" si="203"/>
        <v>1</v>
      </c>
      <c r="V103" s="26">
        <f t="shared" si="203"/>
        <v>1</v>
      </c>
      <c r="W103" s="26">
        <f t="shared" si="203"/>
        <v>1</v>
      </c>
      <c r="X103" s="26">
        <f t="shared" si="203"/>
        <v>1</v>
      </c>
      <c r="Y103" s="26">
        <f t="shared" si="203"/>
        <v>1</v>
      </c>
      <c r="Z103" s="26">
        <f t="shared" si="203"/>
        <v>1</v>
      </c>
      <c r="AA103" s="26">
        <f>$C$103</f>
        <v>1</v>
      </c>
      <c r="AB103" s="26">
        <f aca="true" t="shared" si="204" ref="AB103:AL103">$C$103</f>
        <v>1</v>
      </c>
      <c r="AC103" s="26">
        <f t="shared" si="204"/>
        <v>1</v>
      </c>
      <c r="AD103" s="26">
        <f t="shared" si="204"/>
        <v>1</v>
      </c>
      <c r="AE103" s="26">
        <f t="shared" si="204"/>
        <v>1</v>
      </c>
      <c r="AF103" s="26">
        <f t="shared" si="204"/>
        <v>1</v>
      </c>
      <c r="AG103" s="26">
        <f t="shared" si="204"/>
        <v>1</v>
      </c>
      <c r="AH103" s="26">
        <f t="shared" si="204"/>
        <v>1</v>
      </c>
      <c r="AI103" s="26">
        <f t="shared" si="204"/>
        <v>1</v>
      </c>
      <c r="AJ103" s="26">
        <f t="shared" si="204"/>
        <v>1</v>
      </c>
      <c r="AK103" s="26">
        <f t="shared" si="204"/>
        <v>1</v>
      </c>
      <c r="AL103" s="26">
        <f t="shared" si="204"/>
        <v>1</v>
      </c>
      <c r="AM103" s="26">
        <f>$D$103</f>
        <v>1</v>
      </c>
      <c r="AN103" s="26">
        <f aca="true" t="shared" si="205" ref="AN103:AX103">$D$103</f>
        <v>1</v>
      </c>
      <c r="AO103" s="26">
        <f t="shared" si="205"/>
        <v>1</v>
      </c>
      <c r="AP103" s="26">
        <f t="shared" si="205"/>
        <v>1</v>
      </c>
      <c r="AQ103" s="26">
        <f t="shared" si="205"/>
        <v>1</v>
      </c>
      <c r="AR103" s="26">
        <f t="shared" si="205"/>
        <v>1</v>
      </c>
      <c r="AS103" s="26">
        <f t="shared" si="205"/>
        <v>1</v>
      </c>
      <c r="AT103" s="26">
        <f t="shared" si="205"/>
        <v>1</v>
      </c>
      <c r="AU103" s="26">
        <f t="shared" si="205"/>
        <v>1</v>
      </c>
      <c r="AV103" s="26">
        <f t="shared" si="205"/>
        <v>1</v>
      </c>
      <c r="AW103" s="26">
        <f t="shared" si="205"/>
        <v>1</v>
      </c>
      <c r="AX103" s="26">
        <f t="shared" si="205"/>
        <v>1</v>
      </c>
      <c r="AZ103" s="23">
        <f>($G$103/12)*O103</f>
        <v>3333.3333333333335</v>
      </c>
      <c r="BA103" s="23">
        <f aca="true" t="shared" si="206" ref="BA103:BK103">($G$103/12)*P103</f>
        <v>3333.3333333333335</v>
      </c>
      <c r="BB103" s="23">
        <f t="shared" si="206"/>
        <v>3333.3333333333335</v>
      </c>
      <c r="BC103" s="23">
        <f t="shared" si="206"/>
        <v>3333.3333333333335</v>
      </c>
      <c r="BD103" s="23">
        <f t="shared" si="206"/>
        <v>3333.3333333333335</v>
      </c>
      <c r="BE103" s="23">
        <f t="shared" si="206"/>
        <v>3333.3333333333335</v>
      </c>
      <c r="BF103" s="23">
        <f t="shared" si="206"/>
        <v>3333.3333333333335</v>
      </c>
      <c r="BG103" s="23">
        <f t="shared" si="206"/>
        <v>3333.3333333333335</v>
      </c>
      <c r="BH103" s="23">
        <f t="shared" si="206"/>
        <v>3333.3333333333335</v>
      </c>
      <c r="BI103" s="23">
        <f t="shared" si="206"/>
        <v>3333.3333333333335</v>
      </c>
      <c r="BJ103" s="23">
        <f t="shared" si="206"/>
        <v>3333.3333333333335</v>
      </c>
      <c r="BK103" s="23">
        <f t="shared" si="206"/>
        <v>3333.3333333333335</v>
      </c>
      <c r="BL103" s="23">
        <f>($H$103/12)*AA103</f>
        <v>3400</v>
      </c>
      <c r="BM103" s="23">
        <f aca="true" t="shared" si="207" ref="BM103:BW103">($H$103/12)*AB103</f>
        <v>3400</v>
      </c>
      <c r="BN103" s="23">
        <f t="shared" si="207"/>
        <v>3400</v>
      </c>
      <c r="BO103" s="23">
        <f t="shared" si="207"/>
        <v>3400</v>
      </c>
      <c r="BP103" s="23">
        <f t="shared" si="207"/>
        <v>3400</v>
      </c>
      <c r="BQ103" s="23">
        <f t="shared" si="207"/>
        <v>3400</v>
      </c>
      <c r="BR103" s="23">
        <f t="shared" si="207"/>
        <v>3400</v>
      </c>
      <c r="BS103" s="23">
        <f t="shared" si="207"/>
        <v>3400</v>
      </c>
      <c r="BT103" s="23">
        <f t="shared" si="207"/>
        <v>3400</v>
      </c>
      <c r="BU103" s="23">
        <f t="shared" si="207"/>
        <v>3400</v>
      </c>
      <c r="BV103" s="23">
        <f t="shared" si="207"/>
        <v>3400</v>
      </c>
      <c r="BW103" s="23">
        <f t="shared" si="207"/>
        <v>3400</v>
      </c>
      <c r="BX103" s="23">
        <f>($I$103/12)*AM103</f>
        <v>3468</v>
      </c>
      <c r="BY103" s="23">
        <f aca="true" t="shared" si="208" ref="BY103:CI103">($I$103/12)*AN103</f>
        <v>3468</v>
      </c>
      <c r="BZ103" s="23">
        <f t="shared" si="208"/>
        <v>3468</v>
      </c>
      <c r="CA103" s="23">
        <f t="shared" si="208"/>
        <v>3468</v>
      </c>
      <c r="CB103" s="23">
        <f t="shared" si="208"/>
        <v>3468</v>
      </c>
      <c r="CC103" s="23">
        <f t="shared" si="208"/>
        <v>3468</v>
      </c>
      <c r="CD103" s="23">
        <f t="shared" si="208"/>
        <v>3468</v>
      </c>
      <c r="CE103" s="23">
        <f t="shared" si="208"/>
        <v>3468</v>
      </c>
      <c r="CF103" s="23">
        <f t="shared" si="208"/>
        <v>3468</v>
      </c>
      <c r="CG103" s="23">
        <f t="shared" si="208"/>
        <v>3468</v>
      </c>
      <c r="CH103" s="23">
        <f t="shared" si="208"/>
        <v>3468</v>
      </c>
      <c r="CI103" s="112">
        <f t="shared" si="208"/>
        <v>3468</v>
      </c>
    </row>
    <row r="104" spans="1:114" s="240" customFormat="1" ht="12.75" customHeight="1">
      <c r="A104" s="241" t="s">
        <v>316</v>
      </c>
      <c r="B104" s="241">
        <f>SUM(B103:B103)</f>
        <v>1</v>
      </c>
      <c r="C104" s="240">
        <f>SUM(C103:C103)</f>
        <v>1</v>
      </c>
      <c r="D104" s="240">
        <f>SUM(D103:D103)</f>
        <v>1</v>
      </c>
      <c r="E104" s="247"/>
      <c r="F104" s="242"/>
      <c r="G104" s="243"/>
      <c r="H104" s="243"/>
      <c r="I104" s="243"/>
      <c r="J104" s="247"/>
      <c r="K104" s="244">
        <f>SUM(K103:K103)</f>
        <v>40000</v>
      </c>
      <c r="L104" s="245">
        <f>SUM(L103:L103)</f>
        <v>40800</v>
      </c>
      <c r="M104" s="245">
        <f>SUM(M103:M103)</f>
        <v>41616</v>
      </c>
      <c r="N104" s="247"/>
      <c r="O104" s="240">
        <f aca="true" t="shared" si="209" ref="O104:AX104">SUM(O103:O103)</f>
        <v>1</v>
      </c>
      <c r="P104" s="240">
        <f t="shared" si="209"/>
        <v>1</v>
      </c>
      <c r="Q104" s="240">
        <f t="shared" si="209"/>
        <v>1</v>
      </c>
      <c r="R104" s="240">
        <f t="shared" si="209"/>
        <v>1</v>
      </c>
      <c r="S104" s="240">
        <f t="shared" si="209"/>
        <v>1</v>
      </c>
      <c r="T104" s="240">
        <f t="shared" si="209"/>
        <v>1</v>
      </c>
      <c r="U104" s="240">
        <f t="shared" si="209"/>
        <v>1</v>
      </c>
      <c r="V104" s="240">
        <f t="shared" si="209"/>
        <v>1</v>
      </c>
      <c r="W104" s="240">
        <f t="shared" si="209"/>
        <v>1</v>
      </c>
      <c r="X104" s="240">
        <f t="shared" si="209"/>
        <v>1</v>
      </c>
      <c r="Y104" s="240">
        <f t="shared" si="209"/>
        <v>1</v>
      </c>
      <c r="Z104" s="240">
        <f t="shared" si="209"/>
        <v>1</v>
      </c>
      <c r="AA104" s="240">
        <f t="shared" si="209"/>
        <v>1</v>
      </c>
      <c r="AB104" s="240">
        <f t="shared" si="209"/>
        <v>1</v>
      </c>
      <c r="AC104" s="240">
        <f t="shared" si="209"/>
        <v>1</v>
      </c>
      <c r="AD104" s="240">
        <f t="shared" si="209"/>
        <v>1</v>
      </c>
      <c r="AE104" s="240">
        <f t="shared" si="209"/>
        <v>1</v>
      </c>
      <c r="AF104" s="240">
        <f t="shared" si="209"/>
        <v>1</v>
      </c>
      <c r="AG104" s="240">
        <f t="shared" si="209"/>
        <v>1</v>
      </c>
      <c r="AH104" s="240">
        <f t="shared" si="209"/>
        <v>1</v>
      </c>
      <c r="AI104" s="240">
        <f t="shared" si="209"/>
        <v>1</v>
      </c>
      <c r="AJ104" s="240">
        <f t="shared" si="209"/>
        <v>1</v>
      </c>
      <c r="AK104" s="240">
        <f t="shared" si="209"/>
        <v>1</v>
      </c>
      <c r="AL104" s="240">
        <f t="shared" si="209"/>
        <v>1</v>
      </c>
      <c r="AM104" s="240">
        <f t="shared" si="209"/>
        <v>1</v>
      </c>
      <c r="AN104" s="240">
        <f t="shared" si="209"/>
        <v>1</v>
      </c>
      <c r="AO104" s="240">
        <f t="shared" si="209"/>
        <v>1</v>
      </c>
      <c r="AP104" s="240">
        <f t="shared" si="209"/>
        <v>1</v>
      </c>
      <c r="AQ104" s="240">
        <f t="shared" si="209"/>
        <v>1</v>
      </c>
      <c r="AR104" s="240">
        <f t="shared" si="209"/>
        <v>1</v>
      </c>
      <c r="AS104" s="240">
        <f t="shared" si="209"/>
        <v>1</v>
      </c>
      <c r="AT104" s="240">
        <f t="shared" si="209"/>
        <v>1</v>
      </c>
      <c r="AU104" s="240">
        <f t="shared" si="209"/>
        <v>1</v>
      </c>
      <c r="AV104" s="240">
        <f t="shared" si="209"/>
        <v>1</v>
      </c>
      <c r="AW104" s="240">
        <f t="shared" si="209"/>
        <v>1</v>
      </c>
      <c r="AX104" s="240">
        <f t="shared" si="209"/>
        <v>1</v>
      </c>
      <c r="AZ104" s="243">
        <f aca="true" t="shared" si="210" ref="AZ104:CI104">SUM(AZ103:AZ103)</f>
        <v>3333.3333333333335</v>
      </c>
      <c r="BA104" s="243">
        <f t="shared" si="210"/>
        <v>3333.3333333333335</v>
      </c>
      <c r="BB104" s="243">
        <f t="shared" si="210"/>
        <v>3333.3333333333335</v>
      </c>
      <c r="BC104" s="243">
        <f t="shared" si="210"/>
        <v>3333.3333333333335</v>
      </c>
      <c r="BD104" s="243">
        <f t="shared" si="210"/>
        <v>3333.3333333333335</v>
      </c>
      <c r="BE104" s="243">
        <f t="shared" si="210"/>
        <v>3333.3333333333335</v>
      </c>
      <c r="BF104" s="243">
        <f t="shared" si="210"/>
        <v>3333.3333333333335</v>
      </c>
      <c r="BG104" s="243">
        <f t="shared" si="210"/>
        <v>3333.3333333333335</v>
      </c>
      <c r="BH104" s="243">
        <f t="shared" si="210"/>
        <v>3333.3333333333335</v>
      </c>
      <c r="BI104" s="243">
        <f t="shared" si="210"/>
        <v>3333.3333333333335</v>
      </c>
      <c r="BJ104" s="243">
        <f t="shared" si="210"/>
        <v>3333.3333333333335</v>
      </c>
      <c r="BK104" s="243">
        <f t="shared" si="210"/>
        <v>3333.3333333333335</v>
      </c>
      <c r="BL104" s="243">
        <f t="shared" si="210"/>
        <v>3400</v>
      </c>
      <c r="BM104" s="243">
        <f t="shared" si="210"/>
        <v>3400</v>
      </c>
      <c r="BN104" s="243">
        <f t="shared" si="210"/>
        <v>3400</v>
      </c>
      <c r="BO104" s="243">
        <f t="shared" si="210"/>
        <v>3400</v>
      </c>
      <c r="BP104" s="243">
        <f t="shared" si="210"/>
        <v>3400</v>
      </c>
      <c r="BQ104" s="243">
        <f t="shared" si="210"/>
        <v>3400</v>
      </c>
      <c r="BR104" s="243">
        <f t="shared" si="210"/>
        <v>3400</v>
      </c>
      <c r="BS104" s="243">
        <f t="shared" si="210"/>
        <v>3400</v>
      </c>
      <c r="BT104" s="243">
        <f t="shared" si="210"/>
        <v>3400</v>
      </c>
      <c r="BU104" s="243">
        <f t="shared" si="210"/>
        <v>3400</v>
      </c>
      <c r="BV104" s="243">
        <f t="shared" si="210"/>
        <v>3400</v>
      </c>
      <c r="BW104" s="243">
        <f t="shared" si="210"/>
        <v>3400</v>
      </c>
      <c r="BX104" s="243">
        <f t="shared" si="210"/>
        <v>3468</v>
      </c>
      <c r="BY104" s="243">
        <f t="shared" si="210"/>
        <v>3468</v>
      </c>
      <c r="BZ104" s="243">
        <f t="shared" si="210"/>
        <v>3468</v>
      </c>
      <c r="CA104" s="243">
        <f t="shared" si="210"/>
        <v>3468</v>
      </c>
      <c r="CB104" s="243">
        <f t="shared" si="210"/>
        <v>3468</v>
      </c>
      <c r="CC104" s="243">
        <f t="shared" si="210"/>
        <v>3468</v>
      </c>
      <c r="CD104" s="243">
        <f t="shared" si="210"/>
        <v>3468</v>
      </c>
      <c r="CE104" s="243">
        <f t="shared" si="210"/>
        <v>3468</v>
      </c>
      <c r="CF104" s="243">
        <f t="shared" si="210"/>
        <v>3468</v>
      </c>
      <c r="CG104" s="243">
        <f t="shared" si="210"/>
        <v>3468</v>
      </c>
      <c r="CH104" s="243">
        <f t="shared" si="210"/>
        <v>3468</v>
      </c>
      <c r="CI104" s="272">
        <f t="shared" si="210"/>
        <v>3468</v>
      </c>
      <c r="CJ104" s="243"/>
      <c r="CK104" s="243"/>
      <c r="CL104" s="243"/>
      <c r="CM104" s="243"/>
      <c r="CN104" s="243"/>
      <c r="CO104" s="243"/>
      <c r="CP104" s="243"/>
      <c r="CQ104" s="243"/>
      <c r="CR104" s="243"/>
      <c r="CS104" s="243"/>
      <c r="CT104" s="243"/>
      <c r="CU104" s="243"/>
      <c r="CV104" s="243"/>
      <c r="CW104" s="243"/>
      <c r="CX104" s="243"/>
      <c r="CY104" s="243"/>
      <c r="CZ104" s="243"/>
      <c r="DA104" s="243"/>
      <c r="DB104" s="243"/>
      <c r="DC104" s="243"/>
      <c r="DD104" s="243"/>
      <c r="DE104" s="243"/>
      <c r="DF104" s="243"/>
      <c r="DG104" s="243"/>
      <c r="DH104" s="243"/>
      <c r="DI104" s="243"/>
      <c r="DJ104" s="243"/>
    </row>
    <row r="105" spans="1:87" ht="12.75">
      <c r="A105" s="32" t="s">
        <v>196</v>
      </c>
      <c r="B105" s="32"/>
      <c r="C105" s="26"/>
      <c r="D105" s="26"/>
      <c r="E105" s="246"/>
      <c r="F105" s="111"/>
      <c r="G105" s="23"/>
      <c r="H105" s="23"/>
      <c r="I105" s="23"/>
      <c r="J105" s="246"/>
      <c r="K105" s="158">
        <f>K104*B5</f>
        <v>10000</v>
      </c>
      <c r="L105" s="153">
        <f>L104*C5</f>
        <v>10200</v>
      </c>
      <c r="M105" s="153">
        <f>M104*D5</f>
        <v>10404</v>
      </c>
      <c r="N105" s="24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3">
        <f>AZ104*$B$5</f>
        <v>833.3333333333334</v>
      </c>
      <c r="BA105" s="23">
        <f aca="true" t="shared" si="211" ref="BA105:BK105">BA104*$B$5</f>
        <v>833.3333333333334</v>
      </c>
      <c r="BB105" s="23">
        <f t="shared" si="211"/>
        <v>833.3333333333334</v>
      </c>
      <c r="BC105" s="23">
        <f t="shared" si="211"/>
        <v>833.3333333333334</v>
      </c>
      <c r="BD105" s="23">
        <f t="shared" si="211"/>
        <v>833.3333333333334</v>
      </c>
      <c r="BE105" s="23">
        <f t="shared" si="211"/>
        <v>833.3333333333334</v>
      </c>
      <c r="BF105" s="23">
        <f t="shared" si="211"/>
        <v>833.3333333333334</v>
      </c>
      <c r="BG105" s="23">
        <f t="shared" si="211"/>
        <v>833.3333333333334</v>
      </c>
      <c r="BH105" s="23">
        <f t="shared" si="211"/>
        <v>833.3333333333334</v>
      </c>
      <c r="BI105" s="23">
        <f t="shared" si="211"/>
        <v>833.3333333333334</v>
      </c>
      <c r="BJ105" s="23">
        <f t="shared" si="211"/>
        <v>833.3333333333334</v>
      </c>
      <c r="BK105" s="23">
        <f t="shared" si="211"/>
        <v>833.3333333333334</v>
      </c>
      <c r="BL105" s="23">
        <f>BL104*$C$5</f>
        <v>850</v>
      </c>
      <c r="BM105" s="23">
        <f aca="true" t="shared" si="212" ref="BM105:BW105">BM104*$C$5</f>
        <v>850</v>
      </c>
      <c r="BN105" s="23">
        <f t="shared" si="212"/>
        <v>850</v>
      </c>
      <c r="BO105" s="23">
        <f t="shared" si="212"/>
        <v>850</v>
      </c>
      <c r="BP105" s="23">
        <f t="shared" si="212"/>
        <v>850</v>
      </c>
      <c r="BQ105" s="23">
        <f t="shared" si="212"/>
        <v>850</v>
      </c>
      <c r="BR105" s="23">
        <f t="shared" si="212"/>
        <v>850</v>
      </c>
      <c r="BS105" s="23">
        <f t="shared" si="212"/>
        <v>850</v>
      </c>
      <c r="BT105" s="23">
        <f t="shared" si="212"/>
        <v>850</v>
      </c>
      <c r="BU105" s="23">
        <f t="shared" si="212"/>
        <v>850</v>
      </c>
      <c r="BV105" s="23">
        <f t="shared" si="212"/>
        <v>850</v>
      </c>
      <c r="BW105" s="23">
        <f t="shared" si="212"/>
        <v>850</v>
      </c>
      <c r="BX105" s="23">
        <f>BX104*$D$5</f>
        <v>867</v>
      </c>
      <c r="BY105" s="23">
        <f aca="true" t="shared" si="213" ref="BY105:CI105">BY104*$D$5</f>
        <v>867</v>
      </c>
      <c r="BZ105" s="23">
        <f t="shared" si="213"/>
        <v>867</v>
      </c>
      <c r="CA105" s="23">
        <f t="shared" si="213"/>
        <v>867</v>
      </c>
      <c r="CB105" s="23">
        <f t="shared" si="213"/>
        <v>867</v>
      </c>
      <c r="CC105" s="23">
        <f t="shared" si="213"/>
        <v>867</v>
      </c>
      <c r="CD105" s="23">
        <f t="shared" si="213"/>
        <v>867</v>
      </c>
      <c r="CE105" s="23">
        <f t="shared" si="213"/>
        <v>867</v>
      </c>
      <c r="CF105" s="23">
        <f t="shared" si="213"/>
        <v>867</v>
      </c>
      <c r="CG105" s="23">
        <f t="shared" si="213"/>
        <v>867</v>
      </c>
      <c r="CH105" s="23">
        <f t="shared" si="213"/>
        <v>867</v>
      </c>
      <c r="CI105" s="112">
        <f t="shared" si="213"/>
        <v>867</v>
      </c>
    </row>
    <row r="106" spans="1:87" ht="12.75">
      <c r="A106" s="32" t="s">
        <v>341</v>
      </c>
      <c r="B106" s="32"/>
      <c r="C106" s="26"/>
      <c r="D106" s="26"/>
      <c r="E106" s="246"/>
      <c r="F106" s="111"/>
      <c r="G106" s="23"/>
      <c r="H106" s="23"/>
      <c r="I106" s="23"/>
      <c r="J106" s="246"/>
      <c r="K106" s="158">
        <f>K104+K105</f>
        <v>50000</v>
      </c>
      <c r="L106" s="153">
        <f>L104+L105</f>
        <v>51000</v>
      </c>
      <c r="M106" s="153">
        <f>M104+M105</f>
        <v>52020</v>
      </c>
      <c r="N106" s="24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3">
        <f>AZ104+AZ105</f>
        <v>4166.666666666667</v>
      </c>
      <c r="BA106" s="23">
        <f aca="true" t="shared" si="214" ref="BA106:CI106">BA104+BA105</f>
        <v>4166.666666666667</v>
      </c>
      <c r="BB106" s="23">
        <f t="shared" si="214"/>
        <v>4166.666666666667</v>
      </c>
      <c r="BC106" s="23">
        <f t="shared" si="214"/>
        <v>4166.666666666667</v>
      </c>
      <c r="BD106" s="23">
        <f t="shared" si="214"/>
        <v>4166.666666666667</v>
      </c>
      <c r="BE106" s="23">
        <f t="shared" si="214"/>
        <v>4166.666666666667</v>
      </c>
      <c r="BF106" s="23">
        <f t="shared" si="214"/>
        <v>4166.666666666667</v>
      </c>
      <c r="BG106" s="23">
        <f t="shared" si="214"/>
        <v>4166.666666666667</v>
      </c>
      <c r="BH106" s="23">
        <f t="shared" si="214"/>
        <v>4166.666666666667</v>
      </c>
      <c r="BI106" s="23">
        <f t="shared" si="214"/>
        <v>4166.666666666667</v>
      </c>
      <c r="BJ106" s="23">
        <f t="shared" si="214"/>
        <v>4166.666666666667</v>
      </c>
      <c r="BK106" s="23">
        <f t="shared" si="214"/>
        <v>4166.666666666667</v>
      </c>
      <c r="BL106" s="23">
        <f t="shared" si="214"/>
        <v>4250</v>
      </c>
      <c r="BM106" s="23">
        <f t="shared" si="214"/>
        <v>4250</v>
      </c>
      <c r="BN106" s="23">
        <f t="shared" si="214"/>
        <v>4250</v>
      </c>
      <c r="BO106" s="23">
        <f t="shared" si="214"/>
        <v>4250</v>
      </c>
      <c r="BP106" s="23">
        <f t="shared" si="214"/>
        <v>4250</v>
      </c>
      <c r="BQ106" s="23">
        <f t="shared" si="214"/>
        <v>4250</v>
      </c>
      <c r="BR106" s="23">
        <f t="shared" si="214"/>
        <v>4250</v>
      </c>
      <c r="BS106" s="23">
        <f t="shared" si="214"/>
        <v>4250</v>
      </c>
      <c r="BT106" s="23">
        <f t="shared" si="214"/>
        <v>4250</v>
      </c>
      <c r="BU106" s="23">
        <f t="shared" si="214"/>
        <v>4250</v>
      </c>
      <c r="BV106" s="23">
        <f t="shared" si="214"/>
        <v>4250</v>
      </c>
      <c r="BW106" s="23">
        <f t="shared" si="214"/>
        <v>4250</v>
      </c>
      <c r="BX106" s="23">
        <f t="shared" si="214"/>
        <v>4335</v>
      </c>
      <c r="BY106" s="23">
        <f t="shared" si="214"/>
        <v>4335</v>
      </c>
      <c r="BZ106" s="23">
        <f t="shared" si="214"/>
        <v>4335</v>
      </c>
      <c r="CA106" s="23">
        <f t="shared" si="214"/>
        <v>4335</v>
      </c>
      <c r="CB106" s="23">
        <f t="shared" si="214"/>
        <v>4335</v>
      </c>
      <c r="CC106" s="23">
        <f t="shared" si="214"/>
        <v>4335</v>
      </c>
      <c r="CD106" s="23">
        <f t="shared" si="214"/>
        <v>4335</v>
      </c>
      <c r="CE106" s="23">
        <f t="shared" si="214"/>
        <v>4335</v>
      </c>
      <c r="CF106" s="23">
        <f t="shared" si="214"/>
        <v>4335</v>
      </c>
      <c r="CG106" s="23">
        <f t="shared" si="214"/>
        <v>4335</v>
      </c>
      <c r="CH106" s="23">
        <f t="shared" si="214"/>
        <v>4335</v>
      </c>
      <c r="CI106" s="112">
        <f t="shared" si="214"/>
        <v>4335</v>
      </c>
    </row>
    <row r="107" spans="1:87" ht="12.75">
      <c r="A107" s="32"/>
      <c r="B107" s="32"/>
      <c r="C107" s="26"/>
      <c r="D107" s="26"/>
      <c r="E107" s="246"/>
      <c r="F107" s="111"/>
      <c r="G107" s="23"/>
      <c r="H107" s="23"/>
      <c r="I107" s="23"/>
      <c r="J107" s="246"/>
      <c r="K107" s="158"/>
      <c r="L107" s="153"/>
      <c r="M107" s="153"/>
      <c r="N107" s="24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112"/>
    </row>
    <row r="108" spans="1:87" ht="12.75">
      <c r="A108" s="271" t="s">
        <v>172</v>
      </c>
      <c r="B108" s="32"/>
      <c r="C108" s="26"/>
      <c r="D108" s="26"/>
      <c r="E108" s="246"/>
      <c r="F108" s="111"/>
      <c r="G108" s="23"/>
      <c r="H108" s="23"/>
      <c r="I108" s="23"/>
      <c r="J108" s="246"/>
      <c r="K108" s="32"/>
      <c r="L108" s="26"/>
      <c r="M108" s="26"/>
      <c r="N108" s="24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112"/>
    </row>
    <row r="109" spans="1:87" ht="12.75">
      <c r="A109" s="32" t="s">
        <v>387</v>
      </c>
      <c r="B109" s="234"/>
      <c r="C109" s="235">
        <v>1</v>
      </c>
      <c r="D109" s="235">
        <v>1</v>
      </c>
      <c r="E109" s="246"/>
      <c r="F109" s="238">
        <v>40000</v>
      </c>
      <c r="G109" s="23">
        <f>F109</f>
        <v>40000</v>
      </c>
      <c r="H109" s="23">
        <f>G109*(1+C4)</f>
        <v>40800</v>
      </c>
      <c r="I109" s="23">
        <f>H109*(1+D4)</f>
        <v>41616</v>
      </c>
      <c r="J109" s="246"/>
      <c r="K109" s="158">
        <f>SUM(AZ109:BK109)</f>
        <v>0</v>
      </c>
      <c r="L109" s="153">
        <f>SUM(BL109:BW109)</f>
        <v>40800</v>
      </c>
      <c r="M109" s="153">
        <f>SUM(BX109:CI109)</f>
        <v>41616</v>
      </c>
      <c r="N109" s="246"/>
      <c r="O109" s="26">
        <f>$B$109</f>
        <v>0</v>
      </c>
      <c r="P109" s="26">
        <f aca="true" t="shared" si="215" ref="P109:Z109">$B$109</f>
        <v>0</v>
      </c>
      <c r="Q109" s="26">
        <f t="shared" si="215"/>
        <v>0</v>
      </c>
      <c r="R109" s="26">
        <f t="shared" si="215"/>
        <v>0</v>
      </c>
      <c r="S109" s="26">
        <f t="shared" si="215"/>
        <v>0</v>
      </c>
      <c r="T109" s="26">
        <f t="shared" si="215"/>
        <v>0</v>
      </c>
      <c r="U109" s="26">
        <f t="shared" si="215"/>
        <v>0</v>
      </c>
      <c r="V109" s="26">
        <f t="shared" si="215"/>
        <v>0</v>
      </c>
      <c r="W109" s="26">
        <f t="shared" si="215"/>
        <v>0</v>
      </c>
      <c r="X109" s="26">
        <f t="shared" si="215"/>
        <v>0</v>
      </c>
      <c r="Y109" s="26">
        <f t="shared" si="215"/>
        <v>0</v>
      </c>
      <c r="Z109" s="26">
        <f t="shared" si="215"/>
        <v>0</v>
      </c>
      <c r="AA109" s="26">
        <f>$C$109</f>
        <v>1</v>
      </c>
      <c r="AB109" s="26">
        <f aca="true" t="shared" si="216" ref="AB109:AL109">$C$109</f>
        <v>1</v>
      </c>
      <c r="AC109" s="26">
        <f t="shared" si="216"/>
        <v>1</v>
      </c>
      <c r="AD109" s="26">
        <f t="shared" si="216"/>
        <v>1</v>
      </c>
      <c r="AE109" s="26">
        <f t="shared" si="216"/>
        <v>1</v>
      </c>
      <c r="AF109" s="26">
        <f t="shared" si="216"/>
        <v>1</v>
      </c>
      <c r="AG109" s="26">
        <f t="shared" si="216"/>
        <v>1</v>
      </c>
      <c r="AH109" s="26">
        <f t="shared" si="216"/>
        <v>1</v>
      </c>
      <c r="AI109" s="26">
        <f t="shared" si="216"/>
        <v>1</v>
      </c>
      <c r="AJ109" s="26">
        <f t="shared" si="216"/>
        <v>1</v>
      </c>
      <c r="AK109" s="26">
        <f t="shared" si="216"/>
        <v>1</v>
      </c>
      <c r="AL109" s="26">
        <f t="shared" si="216"/>
        <v>1</v>
      </c>
      <c r="AM109" s="26">
        <f>$D$109</f>
        <v>1</v>
      </c>
      <c r="AN109" s="26">
        <f aca="true" t="shared" si="217" ref="AN109:AX109">$D$109</f>
        <v>1</v>
      </c>
      <c r="AO109" s="26">
        <f t="shared" si="217"/>
        <v>1</v>
      </c>
      <c r="AP109" s="26">
        <f t="shared" si="217"/>
        <v>1</v>
      </c>
      <c r="AQ109" s="26">
        <f t="shared" si="217"/>
        <v>1</v>
      </c>
      <c r="AR109" s="26">
        <f t="shared" si="217"/>
        <v>1</v>
      </c>
      <c r="AS109" s="26">
        <f t="shared" si="217"/>
        <v>1</v>
      </c>
      <c r="AT109" s="26">
        <f t="shared" si="217"/>
        <v>1</v>
      </c>
      <c r="AU109" s="26">
        <f t="shared" si="217"/>
        <v>1</v>
      </c>
      <c r="AV109" s="26">
        <f t="shared" si="217"/>
        <v>1</v>
      </c>
      <c r="AW109" s="26">
        <f t="shared" si="217"/>
        <v>1</v>
      </c>
      <c r="AX109" s="26">
        <f t="shared" si="217"/>
        <v>1</v>
      </c>
      <c r="AY109" s="26"/>
      <c r="AZ109" s="23">
        <f>($G$109/12)*O109</f>
        <v>0</v>
      </c>
      <c r="BA109" s="23">
        <f aca="true" t="shared" si="218" ref="BA109:BK109">($G$109/12)*P109</f>
        <v>0</v>
      </c>
      <c r="BB109" s="23">
        <f t="shared" si="218"/>
        <v>0</v>
      </c>
      <c r="BC109" s="23">
        <f t="shared" si="218"/>
        <v>0</v>
      </c>
      <c r="BD109" s="23">
        <f t="shared" si="218"/>
        <v>0</v>
      </c>
      <c r="BE109" s="23">
        <f t="shared" si="218"/>
        <v>0</v>
      </c>
      <c r="BF109" s="23">
        <f t="shared" si="218"/>
        <v>0</v>
      </c>
      <c r="BG109" s="23">
        <f t="shared" si="218"/>
        <v>0</v>
      </c>
      <c r="BH109" s="23">
        <f t="shared" si="218"/>
        <v>0</v>
      </c>
      <c r="BI109" s="23">
        <f t="shared" si="218"/>
        <v>0</v>
      </c>
      <c r="BJ109" s="23">
        <f t="shared" si="218"/>
        <v>0</v>
      </c>
      <c r="BK109" s="23">
        <f t="shared" si="218"/>
        <v>0</v>
      </c>
      <c r="BL109" s="23">
        <f>($H$109/12)*AA109</f>
        <v>3400</v>
      </c>
      <c r="BM109" s="23">
        <f aca="true" t="shared" si="219" ref="BM109:BW109">($H$109/12)*AB109</f>
        <v>3400</v>
      </c>
      <c r="BN109" s="23">
        <f t="shared" si="219"/>
        <v>3400</v>
      </c>
      <c r="BO109" s="23">
        <f t="shared" si="219"/>
        <v>3400</v>
      </c>
      <c r="BP109" s="23">
        <f t="shared" si="219"/>
        <v>3400</v>
      </c>
      <c r="BQ109" s="23">
        <f t="shared" si="219"/>
        <v>3400</v>
      </c>
      <c r="BR109" s="23">
        <f t="shared" si="219"/>
        <v>3400</v>
      </c>
      <c r="BS109" s="23">
        <f t="shared" si="219"/>
        <v>3400</v>
      </c>
      <c r="BT109" s="23">
        <f t="shared" si="219"/>
        <v>3400</v>
      </c>
      <c r="BU109" s="23">
        <f t="shared" si="219"/>
        <v>3400</v>
      </c>
      <c r="BV109" s="23">
        <f t="shared" si="219"/>
        <v>3400</v>
      </c>
      <c r="BW109" s="23">
        <f t="shared" si="219"/>
        <v>3400</v>
      </c>
      <c r="BX109" s="23">
        <f>($I$109/12)*AM109</f>
        <v>3468</v>
      </c>
      <c r="BY109" s="23">
        <f aca="true" t="shared" si="220" ref="BY109:CI109">($I$109/12)*AN109</f>
        <v>3468</v>
      </c>
      <c r="BZ109" s="23">
        <f t="shared" si="220"/>
        <v>3468</v>
      </c>
      <c r="CA109" s="23">
        <f t="shared" si="220"/>
        <v>3468</v>
      </c>
      <c r="CB109" s="23">
        <f t="shared" si="220"/>
        <v>3468</v>
      </c>
      <c r="CC109" s="23">
        <f t="shared" si="220"/>
        <v>3468</v>
      </c>
      <c r="CD109" s="23">
        <f t="shared" si="220"/>
        <v>3468</v>
      </c>
      <c r="CE109" s="23">
        <f t="shared" si="220"/>
        <v>3468</v>
      </c>
      <c r="CF109" s="23">
        <f t="shared" si="220"/>
        <v>3468</v>
      </c>
      <c r="CG109" s="23">
        <f t="shared" si="220"/>
        <v>3468</v>
      </c>
      <c r="CH109" s="23">
        <f t="shared" si="220"/>
        <v>3468</v>
      </c>
      <c r="CI109" s="112">
        <f t="shared" si="220"/>
        <v>3468</v>
      </c>
    </row>
    <row r="110" spans="1:114" s="52" customFormat="1" ht="12.75" customHeight="1">
      <c r="A110" s="38" t="s">
        <v>388</v>
      </c>
      <c r="B110" s="236"/>
      <c r="C110" s="237">
        <v>0.3</v>
      </c>
      <c r="D110" s="237">
        <v>0.3</v>
      </c>
      <c r="E110" s="248"/>
      <c r="F110" s="239">
        <v>35000</v>
      </c>
      <c r="G110" s="116">
        <f>F110</f>
        <v>35000</v>
      </c>
      <c r="H110" s="116">
        <f>G110*(1+C4)</f>
        <v>35700</v>
      </c>
      <c r="I110" s="116">
        <f>H110*(1+D4)</f>
        <v>36414</v>
      </c>
      <c r="J110" s="248"/>
      <c r="K110" s="214">
        <f>SUM(AZ110:BK110)</f>
        <v>0</v>
      </c>
      <c r="L110" s="215">
        <f>SUM(BL110:BW110)</f>
        <v>10710</v>
      </c>
      <c r="M110" s="215">
        <f>SUM(BX110:CI110)</f>
        <v>10924.200000000003</v>
      </c>
      <c r="N110" s="248"/>
      <c r="O110" s="52">
        <f>$B$110</f>
        <v>0</v>
      </c>
      <c r="P110" s="52">
        <f aca="true" t="shared" si="221" ref="P110:Z110">$B$110</f>
        <v>0</v>
      </c>
      <c r="Q110" s="52">
        <f t="shared" si="221"/>
        <v>0</v>
      </c>
      <c r="R110" s="52">
        <f t="shared" si="221"/>
        <v>0</v>
      </c>
      <c r="S110" s="52">
        <f t="shared" si="221"/>
        <v>0</v>
      </c>
      <c r="T110" s="52">
        <f t="shared" si="221"/>
        <v>0</v>
      </c>
      <c r="U110" s="52">
        <f t="shared" si="221"/>
        <v>0</v>
      </c>
      <c r="V110" s="52">
        <f t="shared" si="221"/>
        <v>0</v>
      </c>
      <c r="W110" s="52">
        <f t="shared" si="221"/>
        <v>0</v>
      </c>
      <c r="X110" s="52">
        <f t="shared" si="221"/>
        <v>0</v>
      </c>
      <c r="Y110" s="52">
        <f t="shared" si="221"/>
        <v>0</v>
      </c>
      <c r="Z110" s="52">
        <f t="shared" si="221"/>
        <v>0</v>
      </c>
      <c r="AA110" s="52">
        <f>$C$110</f>
        <v>0.3</v>
      </c>
      <c r="AB110" s="52">
        <f aca="true" t="shared" si="222" ref="AB110:AL110">$C$110</f>
        <v>0.3</v>
      </c>
      <c r="AC110" s="52">
        <f t="shared" si="222"/>
        <v>0.3</v>
      </c>
      <c r="AD110" s="52">
        <f t="shared" si="222"/>
        <v>0.3</v>
      </c>
      <c r="AE110" s="52">
        <f t="shared" si="222"/>
        <v>0.3</v>
      </c>
      <c r="AF110" s="52">
        <f t="shared" si="222"/>
        <v>0.3</v>
      </c>
      <c r="AG110" s="52">
        <f t="shared" si="222"/>
        <v>0.3</v>
      </c>
      <c r="AH110" s="52">
        <f t="shared" si="222"/>
        <v>0.3</v>
      </c>
      <c r="AI110" s="52">
        <f t="shared" si="222"/>
        <v>0.3</v>
      </c>
      <c r="AJ110" s="52">
        <f t="shared" si="222"/>
        <v>0.3</v>
      </c>
      <c r="AK110" s="52">
        <f t="shared" si="222"/>
        <v>0.3</v>
      </c>
      <c r="AL110" s="52">
        <f t="shared" si="222"/>
        <v>0.3</v>
      </c>
      <c r="AM110" s="52">
        <f>$D$110</f>
        <v>0.3</v>
      </c>
      <c r="AN110" s="52">
        <f aca="true" t="shared" si="223" ref="AN110:AX110">$D$110</f>
        <v>0.3</v>
      </c>
      <c r="AO110" s="52">
        <f t="shared" si="223"/>
        <v>0.3</v>
      </c>
      <c r="AP110" s="52">
        <f t="shared" si="223"/>
        <v>0.3</v>
      </c>
      <c r="AQ110" s="52">
        <f t="shared" si="223"/>
        <v>0.3</v>
      </c>
      <c r="AR110" s="52">
        <f t="shared" si="223"/>
        <v>0.3</v>
      </c>
      <c r="AS110" s="52">
        <f t="shared" si="223"/>
        <v>0.3</v>
      </c>
      <c r="AT110" s="52">
        <f t="shared" si="223"/>
        <v>0.3</v>
      </c>
      <c r="AU110" s="52">
        <f t="shared" si="223"/>
        <v>0.3</v>
      </c>
      <c r="AV110" s="52">
        <f t="shared" si="223"/>
        <v>0.3</v>
      </c>
      <c r="AW110" s="52">
        <f t="shared" si="223"/>
        <v>0.3</v>
      </c>
      <c r="AX110" s="52">
        <f t="shared" si="223"/>
        <v>0.3</v>
      </c>
      <c r="AZ110" s="116">
        <f>($G$110/12)*O110</f>
        <v>0</v>
      </c>
      <c r="BA110" s="116">
        <f aca="true" t="shared" si="224" ref="BA110:BK110">($G$110/12)*P110</f>
        <v>0</v>
      </c>
      <c r="BB110" s="116">
        <f t="shared" si="224"/>
        <v>0</v>
      </c>
      <c r="BC110" s="116">
        <f t="shared" si="224"/>
        <v>0</v>
      </c>
      <c r="BD110" s="116">
        <f t="shared" si="224"/>
        <v>0</v>
      </c>
      <c r="BE110" s="116">
        <f t="shared" si="224"/>
        <v>0</v>
      </c>
      <c r="BF110" s="116">
        <f t="shared" si="224"/>
        <v>0</v>
      </c>
      <c r="BG110" s="116">
        <f t="shared" si="224"/>
        <v>0</v>
      </c>
      <c r="BH110" s="116">
        <f t="shared" si="224"/>
        <v>0</v>
      </c>
      <c r="BI110" s="116">
        <f t="shared" si="224"/>
        <v>0</v>
      </c>
      <c r="BJ110" s="116">
        <f t="shared" si="224"/>
        <v>0</v>
      </c>
      <c r="BK110" s="116">
        <f t="shared" si="224"/>
        <v>0</v>
      </c>
      <c r="BL110" s="116">
        <f>($H$110/12)*AA110</f>
        <v>892.5</v>
      </c>
      <c r="BM110" s="116">
        <f aca="true" t="shared" si="225" ref="BM110:BW110">($H$110/12)*AB110</f>
        <v>892.5</v>
      </c>
      <c r="BN110" s="116">
        <f t="shared" si="225"/>
        <v>892.5</v>
      </c>
      <c r="BO110" s="116">
        <f t="shared" si="225"/>
        <v>892.5</v>
      </c>
      <c r="BP110" s="116">
        <f t="shared" si="225"/>
        <v>892.5</v>
      </c>
      <c r="BQ110" s="116">
        <f t="shared" si="225"/>
        <v>892.5</v>
      </c>
      <c r="BR110" s="116">
        <f t="shared" si="225"/>
        <v>892.5</v>
      </c>
      <c r="BS110" s="116">
        <f t="shared" si="225"/>
        <v>892.5</v>
      </c>
      <c r="BT110" s="116">
        <f t="shared" si="225"/>
        <v>892.5</v>
      </c>
      <c r="BU110" s="116">
        <f t="shared" si="225"/>
        <v>892.5</v>
      </c>
      <c r="BV110" s="116">
        <f t="shared" si="225"/>
        <v>892.5</v>
      </c>
      <c r="BW110" s="116">
        <f t="shared" si="225"/>
        <v>892.5</v>
      </c>
      <c r="BX110" s="116">
        <f>($I$110/12)*AM110</f>
        <v>910.35</v>
      </c>
      <c r="BY110" s="116">
        <f aca="true" t="shared" si="226" ref="BY110:CI110">($I$110/12)*AN110</f>
        <v>910.35</v>
      </c>
      <c r="BZ110" s="116">
        <f t="shared" si="226"/>
        <v>910.35</v>
      </c>
      <c r="CA110" s="116">
        <f t="shared" si="226"/>
        <v>910.35</v>
      </c>
      <c r="CB110" s="116">
        <f t="shared" si="226"/>
        <v>910.35</v>
      </c>
      <c r="CC110" s="116">
        <f t="shared" si="226"/>
        <v>910.35</v>
      </c>
      <c r="CD110" s="116">
        <f t="shared" si="226"/>
        <v>910.35</v>
      </c>
      <c r="CE110" s="116">
        <f t="shared" si="226"/>
        <v>910.35</v>
      </c>
      <c r="CF110" s="116">
        <f t="shared" si="226"/>
        <v>910.35</v>
      </c>
      <c r="CG110" s="116">
        <f t="shared" si="226"/>
        <v>910.35</v>
      </c>
      <c r="CH110" s="116">
        <f t="shared" si="226"/>
        <v>910.35</v>
      </c>
      <c r="CI110" s="119">
        <f t="shared" si="226"/>
        <v>910.35</v>
      </c>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row>
    <row r="111" spans="1:114" s="52" customFormat="1" ht="12.75" customHeight="1">
      <c r="A111" s="38" t="s">
        <v>318</v>
      </c>
      <c r="B111" s="38">
        <f>SUM(B109:B110)</f>
        <v>0</v>
      </c>
      <c r="C111" s="52">
        <f>SUM(C109:C110)</f>
        <v>1.3</v>
      </c>
      <c r="D111" s="52">
        <f>SUM(D109:D110)</f>
        <v>1.3</v>
      </c>
      <c r="E111" s="248"/>
      <c r="F111" s="118"/>
      <c r="G111" s="116"/>
      <c r="H111" s="116"/>
      <c r="I111" s="116"/>
      <c r="J111" s="248"/>
      <c r="K111" s="214">
        <f>SUM(K109:K110)</f>
        <v>0</v>
      </c>
      <c r="L111" s="215">
        <f>SUM(L109:L110)</f>
        <v>51510</v>
      </c>
      <c r="M111" s="215">
        <f>SUM(M109:M110)</f>
        <v>52540.200000000004</v>
      </c>
      <c r="N111" s="248"/>
      <c r="O111" s="52">
        <f aca="true" t="shared" si="227" ref="O111:AX111">SUM(O109:O110)</f>
        <v>0</v>
      </c>
      <c r="P111" s="52">
        <f t="shared" si="227"/>
        <v>0</v>
      </c>
      <c r="Q111" s="52">
        <f t="shared" si="227"/>
        <v>0</v>
      </c>
      <c r="R111" s="52">
        <f t="shared" si="227"/>
        <v>0</v>
      </c>
      <c r="S111" s="52">
        <f t="shared" si="227"/>
        <v>0</v>
      </c>
      <c r="T111" s="52">
        <f t="shared" si="227"/>
        <v>0</v>
      </c>
      <c r="U111" s="52">
        <f t="shared" si="227"/>
        <v>0</v>
      </c>
      <c r="V111" s="52">
        <f t="shared" si="227"/>
        <v>0</v>
      </c>
      <c r="W111" s="52">
        <f t="shared" si="227"/>
        <v>0</v>
      </c>
      <c r="X111" s="52">
        <f t="shared" si="227"/>
        <v>0</v>
      </c>
      <c r="Y111" s="52">
        <f t="shared" si="227"/>
        <v>0</v>
      </c>
      <c r="Z111" s="52">
        <f t="shared" si="227"/>
        <v>0</v>
      </c>
      <c r="AA111" s="52">
        <f t="shared" si="227"/>
        <v>1.3</v>
      </c>
      <c r="AB111" s="52">
        <f t="shared" si="227"/>
        <v>1.3</v>
      </c>
      <c r="AC111" s="52">
        <f t="shared" si="227"/>
        <v>1.3</v>
      </c>
      <c r="AD111" s="52">
        <f t="shared" si="227"/>
        <v>1.3</v>
      </c>
      <c r="AE111" s="52">
        <f t="shared" si="227"/>
        <v>1.3</v>
      </c>
      <c r="AF111" s="52">
        <f t="shared" si="227"/>
        <v>1.3</v>
      </c>
      <c r="AG111" s="52">
        <f t="shared" si="227"/>
        <v>1.3</v>
      </c>
      <c r="AH111" s="52">
        <f t="shared" si="227"/>
        <v>1.3</v>
      </c>
      <c r="AI111" s="52">
        <f t="shared" si="227"/>
        <v>1.3</v>
      </c>
      <c r="AJ111" s="52">
        <f t="shared" si="227"/>
        <v>1.3</v>
      </c>
      <c r="AK111" s="52">
        <f t="shared" si="227"/>
        <v>1.3</v>
      </c>
      <c r="AL111" s="52">
        <f t="shared" si="227"/>
        <v>1.3</v>
      </c>
      <c r="AM111" s="52">
        <f t="shared" si="227"/>
        <v>1.3</v>
      </c>
      <c r="AN111" s="52">
        <f t="shared" si="227"/>
        <v>1.3</v>
      </c>
      <c r="AO111" s="52">
        <f t="shared" si="227"/>
        <v>1.3</v>
      </c>
      <c r="AP111" s="52">
        <f t="shared" si="227"/>
        <v>1.3</v>
      </c>
      <c r="AQ111" s="52">
        <f t="shared" si="227"/>
        <v>1.3</v>
      </c>
      <c r="AR111" s="52">
        <f t="shared" si="227"/>
        <v>1.3</v>
      </c>
      <c r="AS111" s="52">
        <f t="shared" si="227"/>
        <v>1.3</v>
      </c>
      <c r="AT111" s="52">
        <f t="shared" si="227"/>
        <v>1.3</v>
      </c>
      <c r="AU111" s="52">
        <f t="shared" si="227"/>
        <v>1.3</v>
      </c>
      <c r="AV111" s="52">
        <f t="shared" si="227"/>
        <v>1.3</v>
      </c>
      <c r="AW111" s="52">
        <f t="shared" si="227"/>
        <v>1.3</v>
      </c>
      <c r="AX111" s="52">
        <f t="shared" si="227"/>
        <v>1.3</v>
      </c>
      <c r="AZ111" s="116">
        <f aca="true" t="shared" si="228" ref="AZ111:CI111">SUM(AZ109:AZ110)</f>
        <v>0</v>
      </c>
      <c r="BA111" s="116">
        <f t="shared" si="228"/>
        <v>0</v>
      </c>
      <c r="BB111" s="116">
        <f t="shared" si="228"/>
        <v>0</v>
      </c>
      <c r="BC111" s="116">
        <f t="shared" si="228"/>
        <v>0</v>
      </c>
      <c r="BD111" s="116">
        <f t="shared" si="228"/>
        <v>0</v>
      </c>
      <c r="BE111" s="116">
        <f t="shared" si="228"/>
        <v>0</v>
      </c>
      <c r="BF111" s="116">
        <f t="shared" si="228"/>
        <v>0</v>
      </c>
      <c r="BG111" s="116">
        <f t="shared" si="228"/>
        <v>0</v>
      </c>
      <c r="BH111" s="116">
        <f t="shared" si="228"/>
        <v>0</v>
      </c>
      <c r="BI111" s="116">
        <f t="shared" si="228"/>
        <v>0</v>
      </c>
      <c r="BJ111" s="116">
        <f t="shared" si="228"/>
        <v>0</v>
      </c>
      <c r="BK111" s="116">
        <f t="shared" si="228"/>
        <v>0</v>
      </c>
      <c r="BL111" s="116">
        <f t="shared" si="228"/>
        <v>4292.5</v>
      </c>
      <c r="BM111" s="116">
        <f t="shared" si="228"/>
        <v>4292.5</v>
      </c>
      <c r="BN111" s="116">
        <f t="shared" si="228"/>
        <v>4292.5</v>
      </c>
      <c r="BO111" s="116">
        <f t="shared" si="228"/>
        <v>4292.5</v>
      </c>
      <c r="BP111" s="116">
        <f t="shared" si="228"/>
        <v>4292.5</v>
      </c>
      <c r="BQ111" s="116">
        <f t="shared" si="228"/>
        <v>4292.5</v>
      </c>
      <c r="BR111" s="116">
        <f t="shared" si="228"/>
        <v>4292.5</v>
      </c>
      <c r="BS111" s="116">
        <f t="shared" si="228"/>
        <v>4292.5</v>
      </c>
      <c r="BT111" s="116">
        <f t="shared" si="228"/>
        <v>4292.5</v>
      </c>
      <c r="BU111" s="116">
        <f t="shared" si="228"/>
        <v>4292.5</v>
      </c>
      <c r="BV111" s="116">
        <f t="shared" si="228"/>
        <v>4292.5</v>
      </c>
      <c r="BW111" s="116">
        <f t="shared" si="228"/>
        <v>4292.5</v>
      </c>
      <c r="BX111" s="116">
        <f t="shared" si="228"/>
        <v>4378.35</v>
      </c>
      <c r="BY111" s="116">
        <f t="shared" si="228"/>
        <v>4378.35</v>
      </c>
      <c r="BZ111" s="116">
        <f t="shared" si="228"/>
        <v>4378.35</v>
      </c>
      <c r="CA111" s="116">
        <f t="shared" si="228"/>
        <v>4378.35</v>
      </c>
      <c r="CB111" s="116">
        <f t="shared" si="228"/>
        <v>4378.35</v>
      </c>
      <c r="CC111" s="116">
        <f t="shared" si="228"/>
        <v>4378.35</v>
      </c>
      <c r="CD111" s="116">
        <f t="shared" si="228"/>
        <v>4378.35</v>
      </c>
      <c r="CE111" s="116">
        <f t="shared" si="228"/>
        <v>4378.35</v>
      </c>
      <c r="CF111" s="116">
        <f t="shared" si="228"/>
        <v>4378.35</v>
      </c>
      <c r="CG111" s="116">
        <f t="shared" si="228"/>
        <v>4378.35</v>
      </c>
      <c r="CH111" s="116">
        <f t="shared" si="228"/>
        <v>4378.35</v>
      </c>
      <c r="CI111" s="119">
        <f t="shared" si="228"/>
        <v>4378.35</v>
      </c>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row>
    <row r="112" spans="1:114" s="26" customFormat="1" ht="12.75" customHeight="1">
      <c r="A112" s="211" t="s">
        <v>196</v>
      </c>
      <c r="B112" s="32"/>
      <c r="E112" s="246"/>
      <c r="F112" s="111"/>
      <c r="G112" s="23"/>
      <c r="H112" s="23"/>
      <c r="I112" s="23"/>
      <c r="J112" s="246"/>
      <c r="K112" s="158">
        <f>K111*B5</f>
        <v>0</v>
      </c>
      <c r="L112" s="153">
        <f>L111*C5</f>
        <v>12877.5</v>
      </c>
      <c r="M112" s="153">
        <f>M111*D5</f>
        <v>13135.050000000001</v>
      </c>
      <c r="N112" s="246"/>
      <c r="AZ112" s="23">
        <f>AZ111*$B$5</f>
        <v>0</v>
      </c>
      <c r="BA112" s="23">
        <f aca="true" t="shared" si="229" ref="BA112:BK112">BA111*$B$5</f>
        <v>0</v>
      </c>
      <c r="BB112" s="23">
        <f t="shared" si="229"/>
        <v>0</v>
      </c>
      <c r="BC112" s="23">
        <f t="shared" si="229"/>
        <v>0</v>
      </c>
      <c r="BD112" s="23">
        <f t="shared" si="229"/>
        <v>0</v>
      </c>
      <c r="BE112" s="23">
        <f t="shared" si="229"/>
        <v>0</v>
      </c>
      <c r="BF112" s="23">
        <f t="shared" si="229"/>
        <v>0</v>
      </c>
      <c r="BG112" s="23">
        <f t="shared" si="229"/>
        <v>0</v>
      </c>
      <c r="BH112" s="23">
        <f t="shared" si="229"/>
        <v>0</v>
      </c>
      <c r="BI112" s="23">
        <f t="shared" si="229"/>
        <v>0</v>
      </c>
      <c r="BJ112" s="23">
        <f t="shared" si="229"/>
        <v>0</v>
      </c>
      <c r="BK112" s="23">
        <f t="shared" si="229"/>
        <v>0</v>
      </c>
      <c r="BL112" s="23">
        <f>BL111*$C$5</f>
        <v>1073.125</v>
      </c>
      <c r="BM112" s="23">
        <f aca="true" t="shared" si="230" ref="BM112:BW112">BM111*$C$5</f>
        <v>1073.125</v>
      </c>
      <c r="BN112" s="23">
        <f t="shared" si="230"/>
        <v>1073.125</v>
      </c>
      <c r="BO112" s="23">
        <f t="shared" si="230"/>
        <v>1073.125</v>
      </c>
      <c r="BP112" s="23">
        <f t="shared" si="230"/>
        <v>1073.125</v>
      </c>
      <c r="BQ112" s="23">
        <f t="shared" si="230"/>
        <v>1073.125</v>
      </c>
      <c r="BR112" s="23">
        <f t="shared" si="230"/>
        <v>1073.125</v>
      </c>
      <c r="BS112" s="23">
        <f t="shared" si="230"/>
        <v>1073.125</v>
      </c>
      <c r="BT112" s="23">
        <f t="shared" si="230"/>
        <v>1073.125</v>
      </c>
      <c r="BU112" s="23">
        <f t="shared" si="230"/>
        <v>1073.125</v>
      </c>
      <c r="BV112" s="23">
        <f t="shared" si="230"/>
        <v>1073.125</v>
      </c>
      <c r="BW112" s="23">
        <f t="shared" si="230"/>
        <v>1073.125</v>
      </c>
      <c r="BX112" s="23">
        <f>BX111*$D$5</f>
        <v>1094.5875</v>
      </c>
      <c r="BY112" s="23">
        <f aca="true" t="shared" si="231" ref="BY112:CI112">BY111*$D$5</f>
        <v>1094.5875</v>
      </c>
      <c r="BZ112" s="23">
        <f t="shared" si="231"/>
        <v>1094.5875</v>
      </c>
      <c r="CA112" s="23">
        <f t="shared" si="231"/>
        <v>1094.5875</v>
      </c>
      <c r="CB112" s="23">
        <f t="shared" si="231"/>
        <v>1094.5875</v>
      </c>
      <c r="CC112" s="23">
        <f t="shared" si="231"/>
        <v>1094.5875</v>
      </c>
      <c r="CD112" s="23">
        <f t="shared" si="231"/>
        <v>1094.5875</v>
      </c>
      <c r="CE112" s="23">
        <f t="shared" si="231"/>
        <v>1094.5875</v>
      </c>
      <c r="CF112" s="23">
        <f t="shared" si="231"/>
        <v>1094.5875</v>
      </c>
      <c r="CG112" s="23">
        <f t="shared" si="231"/>
        <v>1094.5875</v>
      </c>
      <c r="CH112" s="23">
        <f t="shared" si="231"/>
        <v>1094.5875</v>
      </c>
      <c r="CI112" s="112">
        <f t="shared" si="231"/>
        <v>1094.5875</v>
      </c>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row>
    <row r="113" spans="1:114" s="26" customFormat="1" ht="12.75" customHeight="1">
      <c r="A113" s="211" t="s">
        <v>386</v>
      </c>
      <c r="B113" s="32"/>
      <c r="E113" s="246"/>
      <c r="F113" s="111"/>
      <c r="G113" s="23"/>
      <c r="H113" s="23"/>
      <c r="I113" s="23"/>
      <c r="J113" s="246"/>
      <c r="K113" s="158">
        <f>K111+K112</f>
        <v>0</v>
      </c>
      <c r="L113" s="153">
        <f>L111+L112</f>
        <v>64387.5</v>
      </c>
      <c r="M113" s="153">
        <f>M111+M112</f>
        <v>65675.25</v>
      </c>
      <c r="N113" s="246"/>
      <c r="AZ113" s="23">
        <f>AZ111+AZ112</f>
        <v>0</v>
      </c>
      <c r="BA113" s="23">
        <f aca="true" t="shared" si="232" ref="BA113:CI113">BA111+BA112</f>
        <v>0</v>
      </c>
      <c r="BB113" s="23">
        <f t="shared" si="232"/>
        <v>0</v>
      </c>
      <c r="BC113" s="23">
        <f t="shared" si="232"/>
        <v>0</v>
      </c>
      <c r="BD113" s="23">
        <f t="shared" si="232"/>
        <v>0</v>
      </c>
      <c r="BE113" s="23">
        <f t="shared" si="232"/>
        <v>0</v>
      </c>
      <c r="BF113" s="23">
        <f t="shared" si="232"/>
        <v>0</v>
      </c>
      <c r="BG113" s="23">
        <f t="shared" si="232"/>
        <v>0</v>
      </c>
      <c r="BH113" s="23">
        <f t="shared" si="232"/>
        <v>0</v>
      </c>
      <c r="BI113" s="23">
        <f t="shared" si="232"/>
        <v>0</v>
      </c>
      <c r="BJ113" s="23">
        <f t="shared" si="232"/>
        <v>0</v>
      </c>
      <c r="BK113" s="23">
        <f t="shared" si="232"/>
        <v>0</v>
      </c>
      <c r="BL113" s="23">
        <f t="shared" si="232"/>
        <v>5365.625</v>
      </c>
      <c r="BM113" s="23">
        <f t="shared" si="232"/>
        <v>5365.625</v>
      </c>
      <c r="BN113" s="23">
        <f t="shared" si="232"/>
        <v>5365.625</v>
      </c>
      <c r="BO113" s="23">
        <f t="shared" si="232"/>
        <v>5365.625</v>
      </c>
      <c r="BP113" s="23">
        <f t="shared" si="232"/>
        <v>5365.625</v>
      </c>
      <c r="BQ113" s="23">
        <f t="shared" si="232"/>
        <v>5365.625</v>
      </c>
      <c r="BR113" s="23">
        <f t="shared" si="232"/>
        <v>5365.625</v>
      </c>
      <c r="BS113" s="23">
        <f t="shared" si="232"/>
        <v>5365.625</v>
      </c>
      <c r="BT113" s="23">
        <f t="shared" si="232"/>
        <v>5365.625</v>
      </c>
      <c r="BU113" s="23">
        <f t="shared" si="232"/>
        <v>5365.625</v>
      </c>
      <c r="BV113" s="23">
        <f t="shared" si="232"/>
        <v>5365.625</v>
      </c>
      <c r="BW113" s="23">
        <f t="shared" si="232"/>
        <v>5365.625</v>
      </c>
      <c r="BX113" s="23">
        <f t="shared" si="232"/>
        <v>5472.9375</v>
      </c>
      <c r="BY113" s="23">
        <f t="shared" si="232"/>
        <v>5472.9375</v>
      </c>
      <c r="BZ113" s="23">
        <f t="shared" si="232"/>
        <v>5472.9375</v>
      </c>
      <c r="CA113" s="23">
        <f t="shared" si="232"/>
        <v>5472.9375</v>
      </c>
      <c r="CB113" s="23">
        <f t="shared" si="232"/>
        <v>5472.9375</v>
      </c>
      <c r="CC113" s="23">
        <f t="shared" si="232"/>
        <v>5472.9375</v>
      </c>
      <c r="CD113" s="23">
        <f t="shared" si="232"/>
        <v>5472.9375</v>
      </c>
      <c r="CE113" s="23">
        <f t="shared" si="232"/>
        <v>5472.9375</v>
      </c>
      <c r="CF113" s="23">
        <f t="shared" si="232"/>
        <v>5472.9375</v>
      </c>
      <c r="CG113" s="23">
        <f t="shared" si="232"/>
        <v>5472.9375</v>
      </c>
      <c r="CH113" s="23">
        <f t="shared" si="232"/>
        <v>5472.9375</v>
      </c>
      <c r="CI113" s="112">
        <f t="shared" si="232"/>
        <v>5472.9375</v>
      </c>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row>
    <row r="114" spans="1:87" ht="12.75">
      <c r="A114" s="32"/>
      <c r="B114" s="32"/>
      <c r="C114" s="26"/>
      <c r="D114" s="26"/>
      <c r="E114" s="246"/>
      <c r="F114" s="111"/>
      <c r="G114" s="23"/>
      <c r="H114" s="23"/>
      <c r="I114" s="23"/>
      <c r="J114" s="246"/>
      <c r="K114" s="158"/>
      <c r="L114" s="153"/>
      <c r="M114" s="153"/>
      <c r="N114" s="24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112"/>
    </row>
    <row r="115" spans="1:87" ht="12.75">
      <c r="A115" s="32"/>
      <c r="B115" s="32"/>
      <c r="C115" s="26"/>
      <c r="D115" s="26"/>
      <c r="E115" s="246"/>
      <c r="F115" s="111"/>
      <c r="G115" s="23"/>
      <c r="H115" s="23"/>
      <c r="I115" s="23"/>
      <c r="J115" s="246"/>
      <c r="K115" s="158"/>
      <c r="L115" s="153"/>
      <c r="M115" s="153"/>
      <c r="N115" s="24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112"/>
    </row>
    <row r="116" spans="1:87" ht="12.75">
      <c r="A116" s="271" t="s">
        <v>389</v>
      </c>
      <c r="B116" s="32"/>
      <c r="C116" s="26"/>
      <c r="D116" s="26"/>
      <c r="E116" s="246"/>
      <c r="F116" s="111"/>
      <c r="G116" s="23"/>
      <c r="H116" s="23"/>
      <c r="I116" s="23"/>
      <c r="J116" s="246"/>
      <c r="K116" s="32"/>
      <c r="L116" s="26"/>
      <c r="M116" s="26"/>
      <c r="N116" s="24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112"/>
    </row>
    <row r="117" spans="1:87" s="26" customFormat="1" ht="12.75" customHeight="1">
      <c r="A117" s="32" t="s">
        <v>390</v>
      </c>
      <c r="B117" s="234">
        <v>0</v>
      </c>
      <c r="C117" s="235">
        <v>1</v>
      </c>
      <c r="D117" s="235">
        <v>2</v>
      </c>
      <c r="E117" s="246"/>
      <c r="F117" s="238">
        <v>85000</v>
      </c>
      <c r="G117" s="23">
        <f aca="true" t="shared" si="233" ref="G117:G125">F117</f>
        <v>85000</v>
      </c>
      <c r="H117" s="23">
        <f>G117*(1+$C$4)</f>
        <v>86700</v>
      </c>
      <c r="I117" s="23">
        <f>H117*(1+$D$4)</f>
        <v>88434</v>
      </c>
      <c r="J117" s="246"/>
      <c r="K117" s="158">
        <f aca="true" t="shared" si="234" ref="K117:K125">SUM(AZ117:BK117)</f>
        <v>0</v>
      </c>
      <c r="L117" s="153">
        <f aca="true" t="shared" si="235" ref="L117:L125">SUM(BL117:BW117)</f>
        <v>86700</v>
      </c>
      <c r="M117" s="153">
        <f aca="true" t="shared" si="236" ref="M117:M125">SUM(BX117:CI117)</f>
        <v>176868</v>
      </c>
      <c r="N117" s="246"/>
      <c r="O117" s="26">
        <f>$B$117</f>
        <v>0</v>
      </c>
      <c r="P117" s="26">
        <f aca="true" t="shared" si="237" ref="P117:Z117">$B$117</f>
        <v>0</v>
      </c>
      <c r="Q117" s="26">
        <f t="shared" si="237"/>
        <v>0</v>
      </c>
      <c r="R117" s="26">
        <f t="shared" si="237"/>
        <v>0</v>
      </c>
      <c r="S117" s="26">
        <f t="shared" si="237"/>
        <v>0</v>
      </c>
      <c r="T117" s="26">
        <f t="shared" si="237"/>
        <v>0</v>
      </c>
      <c r="U117" s="26">
        <f t="shared" si="237"/>
        <v>0</v>
      </c>
      <c r="V117" s="26">
        <f t="shared" si="237"/>
        <v>0</v>
      </c>
      <c r="W117" s="26">
        <f t="shared" si="237"/>
        <v>0</v>
      </c>
      <c r="X117" s="26">
        <f t="shared" si="237"/>
        <v>0</v>
      </c>
      <c r="Y117" s="26">
        <f t="shared" si="237"/>
        <v>0</v>
      </c>
      <c r="Z117" s="26">
        <f t="shared" si="237"/>
        <v>0</v>
      </c>
      <c r="AA117" s="45">
        <f>$C$117</f>
        <v>1</v>
      </c>
      <c r="AB117" s="45">
        <f aca="true" t="shared" si="238" ref="AB117:AL117">$C$117</f>
        <v>1</v>
      </c>
      <c r="AC117" s="45">
        <f t="shared" si="238"/>
        <v>1</v>
      </c>
      <c r="AD117" s="45">
        <f t="shared" si="238"/>
        <v>1</v>
      </c>
      <c r="AE117" s="45">
        <f t="shared" si="238"/>
        <v>1</v>
      </c>
      <c r="AF117" s="45">
        <f t="shared" si="238"/>
        <v>1</v>
      </c>
      <c r="AG117" s="45">
        <f t="shared" si="238"/>
        <v>1</v>
      </c>
      <c r="AH117" s="45">
        <f t="shared" si="238"/>
        <v>1</v>
      </c>
      <c r="AI117" s="45">
        <f t="shared" si="238"/>
        <v>1</v>
      </c>
      <c r="AJ117" s="45">
        <f t="shared" si="238"/>
        <v>1</v>
      </c>
      <c r="AK117" s="45">
        <f t="shared" si="238"/>
        <v>1</v>
      </c>
      <c r="AL117" s="45">
        <f t="shared" si="238"/>
        <v>1</v>
      </c>
      <c r="AM117" s="45">
        <f>$D$117</f>
        <v>2</v>
      </c>
      <c r="AN117" s="45">
        <f aca="true" t="shared" si="239" ref="AN117:AX117">$D$117</f>
        <v>2</v>
      </c>
      <c r="AO117" s="45">
        <f t="shared" si="239"/>
        <v>2</v>
      </c>
      <c r="AP117" s="45">
        <f t="shared" si="239"/>
        <v>2</v>
      </c>
      <c r="AQ117" s="45">
        <f t="shared" si="239"/>
        <v>2</v>
      </c>
      <c r="AR117" s="45">
        <f t="shared" si="239"/>
        <v>2</v>
      </c>
      <c r="AS117" s="45">
        <f t="shared" si="239"/>
        <v>2</v>
      </c>
      <c r="AT117" s="45">
        <f t="shared" si="239"/>
        <v>2</v>
      </c>
      <c r="AU117" s="45">
        <f t="shared" si="239"/>
        <v>2</v>
      </c>
      <c r="AV117" s="45">
        <f t="shared" si="239"/>
        <v>2</v>
      </c>
      <c r="AW117" s="45">
        <f t="shared" si="239"/>
        <v>2</v>
      </c>
      <c r="AX117" s="45">
        <f t="shared" si="239"/>
        <v>2</v>
      </c>
      <c r="AZ117" s="23">
        <f>($G$117/12)*O117</f>
        <v>0</v>
      </c>
      <c r="BA117" s="23">
        <f aca="true" t="shared" si="240" ref="BA117:BK117">($G$117/12)*P117</f>
        <v>0</v>
      </c>
      <c r="BB117" s="23">
        <f t="shared" si="240"/>
        <v>0</v>
      </c>
      <c r="BC117" s="23">
        <f t="shared" si="240"/>
        <v>0</v>
      </c>
      <c r="BD117" s="23">
        <f t="shared" si="240"/>
        <v>0</v>
      </c>
      <c r="BE117" s="23">
        <f t="shared" si="240"/>
        <v>0</v>
      </c>
      <c r="BF117" s="23">
        <f t="shared" si="240"/>
        <v>0</v>
      </c>
      <c r="BG117" s="23">
        <f t="shared" si="240"/>
        <v>0</v>
      </c>
      <c r="BH117" s="23">
        <f t="shared" si="240"/>
        <v>0</v>
      </c>
      <c r="BI117" s="23">
        <f t="shared" si="240"/>
        <v>0</v>
      </c>
      <c r="BJ117" s="23">
        <f t="shared" si="240"/>
        <v>0</v>
      </c>
      <c r="BK117" s="23">
        <f t="shared" si="240"/>
        <v>0</v>
      </c>
      <c r="BL117" s="23">
        <f>($H$117/12)*AA117</f>
        <v>7225</v>
      </c>
      <c r="BM117" s="23">
        <f aca="true" t="shared" si="241" ref="BM117:BW117">($H$117/12)*AB117</f>
        <v>7225</v>
      </c>
      <c r="BN117" s="23">
        <f t="shared" si="241"/>
        <v>7225</v>
      </c>
      <c r="BO117" s="23">
        <f t="shared" si="241"/>
        <v>7225</v>
      </c>
      <c r="BP117" s="23">
        <f t="shared" si="241"/>
        <v>7225</v>
      </c>
      <c r="BQ117" s="23">
        <f t="shared" si="241"/>
        <v>7225</v>
      </c>
      <c r="BR117" s="23">
        <f t="shared" si="241"/>
        <v>7225</v>
      </c>
      <c r="BS117" s="23">
        <f t="shared" si="241"/>
        <v>7225</v>
      </c>
      <c r="BT117" s="23">
        <f t="shared" si="241"/>
        <v>7225</v>
      </c>
      <c r="BU117" s="23">
        <f t="shared" si="241"/>
        <v>7225</v>
      </c>
      <c r="BV117" s="23">
        <f t="shared" si="241"/>
        <v>7225</v>
      </c>
      <c r="BW117" s="23">
        <f t="shared" si="241"/>
        <v>7225</v>
      </c>
      <c r="BX117" s="23">
        <f>($I$117/12)*AM117</f>
        <v>14739</v>
      </c>
      <c r="BY117" s="23">
        <f aca="true" t="shared" si="242" ref="BY117:CI117">($I$117/12)*AN117</f>
        <v>14739</v>
      </c>
      <c r="BZ117" s="23">
        <f t="shared" si="242"/>
        <v>14739</v>
      </c>
      <c r="CA117" s="23">
        <f t="shared" si="242"/>
        <v>14739</v>
      </c>
      <c r="CB117" s="23">
        <f t="shared" si="242"/>
        <v>14739</v>
      </c>
      <c r="CC117" s="23">
        <f t="shared" si="242"/>
        <v>14739</v>
      </c>
      <c r="CD117" s="23">
        <f t="shared" si="242"/>
        <v>14739</v>
      </c>
      <c r="CE117" s="23">
        <f t="shared" si="242"/>
        <v>14739</v>
      </c>
      <c r="CF117" s="23">
        <f t="shared" si="242"/>
        <v>14739</v>
      </c>
      <c r="CG117" s="23">
        <f t="shared" si="242"/>
        <v>14739</v>
      </c>
      <c r="CH117" s="23">
        <f t="shared" si="242"/>
        <v>14739</v>
      </c>
      <c r="CI117" s="112">
        <f t="shared" si="242"/>
        <v>14739</v>
      </c>
    </row>
    <row r="118" spans="1:87" s="26" customFormat="1" ht="12.75" customHeight="1">
      <c r="A118" s="211" t="s">
        <v>391</v>
      </c>
      <c r="B118" s="234">
        <v>0</v>
      </c>
      <c r="C118" s="235">
        <v>4</v>
      </c>
      <c r="D118" s="235">
        <v>9</v>
      </c>
      <c r="E118" s="246"/>
      <c r="F118" s="212">
        <f>F59</f>
        <v>78000</v>
      </c>
      <c r="G118" s="23">
        <f t="shared" si="233"/>
        <v>78000</v>
      </c>
      <c r="H118" s="23">
        <f aca="true" t="shared" si="243" ref="H118:H125">G118*(1+$C$4)</f>
        <v>79560</v>
      </c>
      <c r="I118" s="23">
        <f aca="true" t="shared" si="244" ref="I118:I125">H118*(1+$D$4)</f>
        <v>81151.2</v>
      </c>
      <c r="J118" s="246"/>
      <c r="K118" s="158">
        <f t="shared" si="234"/>
        <v>0</v>
      </c>
      <c r="L118" s="153">
        <f t="shared" si="235"/>
        <v>318240</v>
      </c>
      <c r="M118" s="153">
        <f t="shared" si="236"/>
        <v>730360.8000000002</v>
      </c>
      <c r="N118" s="246"/>
      <c r="O118" s="26">
        <f>$B$118</f>
        <v>0</v>
      </c>
      <c r="P118" s="26">
        <f aca="true" t="shared" si="245" ref="P118:Z118">$B$118</f>
        <v>0</v>
      </c>
      <c r="Q118" s="26">
        <f t="shared" si="245"/>
        <v>0</v>
      </c>
      <c r="R118" s="26">
        <f t="shared" si="245"/>
        <v>0</v>
      </c>
      <c r="S118" s="26">
        <f t="shared" si="245"/>
        <v>0</v>
      </c>
      <c r="T118" s="26">
        <f t="shared" si="245"/>
        <v>0</v>
      </c>
      <c r="U118" s="26">
        <f t="shared" si="245"/>
        <v>0</v>
      </c>
      <c r="V118" s="26">
        <f t="shared" si="245"/>
        <v>0</v>
      </c>
      <c r="W118" s="26">
        <f t="shared" si="245"/>
        <v>0</v>
      </c>
      <c r="X118" s="26">
        <f t="shared" si="245"/>
        <v>0</v>
      </c>
      <c r="Y118" s="26">
        <f t="shared" si="245"/>
        <v>0</v>
      </c>
      <c r="Z118" s="26">
        <f t="shared" si="245"/>
        <v>0</v>
      </c>
      <c r="AA118" s="45">
        <f>$C$118</f>
        <v>4</v>
      </c>
      <c r="AB118" s="45">
        <f aca="true" t="shared" si="246" ref="AB118:AL118">$C$118</f>
        <v>4</v>
      </c>
      <c r="AC118" s="45">
        <f t="shared" si="246"/>
        <v>4</v>
      </c>
      <c r="AD118" s="45">
        <f t="shared" si="246"/>
        <v>4</v>
      </c>
      <c r="AE118" s="45">
        <f t="shared" si="246"/>
        <v>4</v>
      </c>
      <c r="AF118" s="45">
        <f t="shared" si="246"/>
        <v>4</v>
      </c>
      <c r="AG118" s="45">
        <f t="shared" si="246"/>
        <v>4</v>
      </c>
      <c r="AH118" s="45">
        <f t="shared" si="246"/>
        <v>4</v>
      </c>
      <c r="AI118" s="45">
        <f t="shared" si="246"/>
        <v>4</v>
      </c>
      <c r="AJ118" s="45">
        <f t="shared" si="246"/>
        <v>4</v>
      </c>
      <c r="AK118" s="45">
        <f t="shared" si="246"/>
        <v>4</v>
      </c>
      <c r="AL118" s="45">
        <f t="shared" si="246"/>
        <v>4</v>
      </c>
      <c r="AM118" s="45">
        <f>$D$118</f>
        <v>9</v>
      </c>
      <c r="AN118" s="45">
        <f aca="true" t="shared" si="247" ref="AN118:AX118">$D$118</f>
        <v>9</v>
      </c>
      <c r="AO118" s="45">
        <f t="shared" si="247"/>
        <v>9</v>
      </c>
      <c r="AP118" s="45">
        <f t="shared" si="247"/>
        <v>9</v>
      </c>
      <c r="AQ118" s="45">
        <f t="shared" si="247"/>
        <v>9</v>
      </c>
      <c r="AR118" s="45">
        <f t="shared" si="247"/>
        <v>9</v>
      </c>
      <c r="AS118" s="45">
        <f t="shared" si="247"/>
        <v>9</v>
      </c>
      <c r="AT118" s="45">
        <f t="shared" si="247"/>
        <v>9</v>
      </c>
      <c r="AU118" s="45">
        <f t="shared" si="247"/>
        <v>9</v>
      </c>
      <c r="AV118" s="45">
        <f t="shared" si="247"/>
        <v>9</v>
      </c>
      <c r="AW118" s="45">
        <f t="shared" si="247"/>
        <v>9</v>
      </c>
      <c r="AX118" s="45">
        <f t="shared" si="247"/>
        <v>9</v>
      </c>
      <c r="AZ118" s="23">
        <f>($G$118/12)*O118</f>
        <v>0</v>
      </c>
      <c r="BA118" s="23">
        <f aca="true" t="shared" si="248" ref="BA118:BK118">($G$118/12)*P118</f>
        <v>0</v>
      </c>
      <c r="BB118" s="23">
        <f t="shared" si="248"/>
        <v>0</v>
      </c>
      <c r="BC118" s="23">
        <f t="shared" si="248"/>
        <v>0</v>
      </c>
      <c r="BD118" s="23">
        <f t="shared" si="248"/>
        <v>0</v>
      </c>
      <c r="BE118" s="23">
        <f t="shared" si="248"/>
        <v>0</v>
      </c>
      <c r="BF118" s="23">
        <f t="shared" si="248"/>
        <v>0</v>
      </c>
      <c r="BG118" s="23">
        <f t="shared" si="248"/>
        <v>0</v>
      </c>
      <c r="BH118" s="23">
        <f t="shared" si="248"/>
        <v>0</v>
      </c>
      <c r="BI118" s="23">
        <f t="shared" si="248"/>
        <v>0</v>
      </c>
      <c r="BJ118" s="23">
        <f t="shared" si="248"/>
        <v>0</v>
      </c>
      <c r="BK118" s="23">
        <f t="shared" si="248"/>
        <v>0</v>
      </c>
      <c r="BL118" s="23">
        <f>($H$118/12)*AA118</f>
        <v>26520</v>
      </c>
      <c r="BM118" s="23">
        <f aca="true" t="shared" si="249" ref="BM118:BW118">($H$118/12)*AB118</f>
        <v>26520</v>
      </c>
      <c r="BN118" s="23">
        <f t="shared" si="249"/>
        <v>26520</v>
      </c>
      <c r="BO118" s="23">
        <f t="shared" si="249"/>
        <v>26520</v>
      </c>
      <c r="BP118" s="23">
        <f t="shared" si="249"/>
        <v>26520</v>
      </c>
      <c r="BQ118" s="23">
        <f t="shared" si="249"/>
        <v>26520</v>
      </c>
      <c r="BR118" s="23">
        <f t="shared" si="249"/>
        <v>26520</v>
      </c>
      <c r="BS118" s="23">
        <f t="shared" si="249"/>
        <v>26520</v>
      </c>
      <c r="BT118" s="23">
        <f t="shared" si="249"/>
        <v>26520</v>
      </c>
      <c r="BU118" s="23">
        <f t="shared" si="249"/>
        <v>26520</v>
      </c>
      <c r="BV118" s="23">
        <f t="shared" si="249"/>
        <v>26520</v>
      </c>
      <c r="BW118" s="23">
        <f t="shared" si="249"/>
        <v>26520</v>
      </c>
      <c r="BX118" s="23">
        <f>($I$118/12)*AM118</f>
        <v>60863.399999999994</v>
      </c>
      <c r="BY118" s="23">
        <f aca="true" t="shared" si="250" ref="BY118:CI118">($I$118/12)*AN118</f>
        <v>60863.399999999994</v>
      </c>
      <c r="BZ118" s="23">
        <f t="shared" si="250"/>
        <v>60863.399999999994</v>
      </c>
      <c r="CA118" s="23">
        <f t="shared" si="250"/>
        <v>60863.399999999994</v>
      </c>
      <c r="CB118" s="23">
        <f t="shared" si="250"/>
        <v>60863.399999999994</v>
      </c>
      <c r="CC118" s="23">
        <f t="shared" si="250"/>
        <v>60863.399999999994</v>
      </c>
      <c r="CD118" s="23">
        <f t="shared" si="250"/>
        <v>60863.399999999994</v>
      </c>
      <c r="CE118" s="23">
        <f t="shared" si="250"/>
        <v>60863.399999999994</v>
      </c>
      <c r="CF118" s="23">
        <f t="shared" si="250"/>
        <v>60863.399999999994</v>
      </c>
      <c r="CG118" s="23">
        <f t="shared" si="250"/>
        <v>60863.399999999994</v>
      </c>
      <c r="CH118" s="23">
        <f t="shared" si="250"/>
        <v>60863.399999999994</v>
      </c>
      <c r="CI118" s="112">
        <f t="shared" si="250"/>
        <v>60863.399999999994</v>
      </c>
    </row>
    <row r="119" spans="1:87" s="26" customFormat="1" ht="12.75" customHeight="1">
      <c r="A119" s="211" t="s">
        <v>392</v>
      </c>
      <c r="B119" s="234">
        <v>0</v>
      </c>
      <c r="C119" s="235">
        <v>1</v>
      </c>
      <c r="D119" s="235">
        <v>2</v>
      </c>
      <c r="E119" s="246"/>
      <c r="F119" s="212">
        <f>F59</f>
        <v>78000</v>
      </c>
      <c r="G119" s="23">
        <f t="shared" si="233"/>
        <v>78000</v>
      </c>
      <c r="H119" s="23">
        <f t="shared" si="243"/>
        <v>79560</v>
      </c>
      <c r="I119" s="23">
        <f t="shared" si="244"/>
        <v>81151.2</v>
      </c>
      <c r="J119" s="246"/>
      <c r="K119" s="158">
        <f t="shared" si="234"/>
        <v>0</v>
      </c>
      <c r="L119" s="153">
        <f t="shared" si="235"/>
        <v>79560</v>
      </c>
      <c r="M119" s="153">
        <f t="shared" si="236"/>
        <v>162302.40000000002</v>
      </c>
      <c r="N119" s="246"/>
      <c r="O119" s="26">
        <f>$B$119</f>
        <v>0</v>
      </c>
      <c r="P119" s="26">
        <f aca="true" t="shared" si="251" ref="P119:Z119">$B$119</f>
        <v>0</v>
      </c>
      <c r="Q119" s="26">
        <f t="shared" si="251"/>
        <v>0</v>
      </c>
      <c r="R119" s="26">
        <f t="shared" si="251"/>
        <v>0</v>
      </c>
      <c r="S119" s="26">
        <f t="shared" si="251"/>
        <v>0</v>
      </c>
      <c r="T119" s="26">
        <f t="shared" si="251"/>
        <v>0</v>
      </c>
      <c r="U119" s="26">
        <f t="shared" si="251"/>
        <v>0</v>
      </c>
      <c r="V119" s="26">
        <f t="shared" si="251"/>
        <v>0</v>
      </c>
      <c r="W119" s="26">
        <f t="shared" si="251"/>
        <v>0</v>
      </c>
      <c r="X119" s="26">
        <f t="shared" si="251"/>
        <v>0</v>
      </c>
      <c r="Y119" s="26">
        <f t="shared" si="251"/>
        <v>0</v>
      </c>
      <c r="Z119" s="26">
        <f t="shared" si="251"/>
        <v>0</v>
      </c>
      <c r="AA119" s="45">
        <f>$C$119</f>
        <v>1</v>
      </c>
      <c r="AB119" s="45">
        <f aca="true" t="shared" si="252" ref="AB119:AL119">$C$119</f>
        <v>1</v>
      </c>
      <c r="AC119" s="45">
        <f t="shared" si="252"/>
        <v>1</v>
      </c>
      <c r="AD119" s="45">
        <f t="shared" si="252"/>
        <v>1</v>
      </c>
      <c r="AE119" s="45">
        <f t="shared" si="252"/>
        <v>1</v>
      </c>
      <c r="AF119" s="45">
        <f t="shared" si="252"/>
        <v>1</v>
      </c>
      <c r="AG119" s="45">
        <f t="shared" si="252"/>
        <v>1</v>
      </c>
      <c r="AH119" s="45">
        <f t="shared" si="252"/>
        <v>1</v>
      </c>
      <c r="AI119" s="45">
        <f t="shared" si="252"/>
        <v>1</v>
      </c>
      <c r="AJ119" s="45">
        <f t="shared" si="252"/>
        <v>1</v>
      </c>
      <c r="AK119" s="45">
        <f t="shared" si="252"/>
        <v>1</v>
      </c>
      <c r="AL119" s="45">
        <f t="shared" si="252"/>
        <v>1</v>
      </c>
      <c r="AM119" s="45">
        <f>$D$119</f>
        <v>2</v>
      </c>
      <c r="AN119" s="45">
        <f aca="true" t="shared" si="253" ref="AN119:AX119">$D$119</f>
        <v>2</v>
      </c>
      <c r="AO119" s="45">
        <f t="shared" si="253"/>
        <v>2</v>
      </c>
      <c r="AP119" s="45">
        <f t="shared" si="253"/>
        <v>2</v>
      </c>
      <c r="AQ119" s="45">
        <f t="shared" si="253"/>
        <v>2</v>
      </c>
      <c r="AR119" s="45">
        <f t="shared" si="253"/>
        <v>2</v>
      </c>
      <c r="AS119" s="45">
        <f t="shared" si="253"/>
        <v>2</v>
      </c>
      <c r="AT119" s="45">
        <f t="shared" si="253"/>
        <v>2</v>
      </c>
      <c r="AU119" s="45">
        <f t="shared" si="253"/>
        <v>2</v>
      </c>
      <c r="AV119" s="45">
        <f t="shared" si="253"/>
        <v>2</v>
      </c>
      <c r="AW119" s="45">
        <f t="shared" si="253"/>
        <v>2</v>
      </c>
      <c r="AX119" s="45">
        <f t="shared" si="253"/>
        <v>2</v>
      </c>
      <c r="AZ119" s="23">
        <f>($G$119/12)*O119</f>
        <v>0</v>
      </c>
      <c r="BA119" s="23">
        <f aca="true" t="shared" si="254" ref="BA119:BK119">($G$119/12)*P119</f>
        <v>0</v>
      </c>
      <c r="BB119" s="23">
        <f t="shared" si="254"/>
        <v>0</v>
      </c>
      <c r="BC119" s="23">
        <f t="shared" si="254"/>
        <v>0</v>
      </c>
      <c r="BD119" s="23">
        <f t="shared" si="254"/>
        <v>0</v>
      </c>
      <c r="BE119" s="23">
        <f t="shared" si="254"/>
        <v>0</v>
      </c>
      <c r="BF119" s="23">
        <f t="shared" si="254"/>
        <v>0</v>
      </c>
      <c r="BG119" s="23">
        <f t="shared" si="254"/>
        <v>0</v>
      </c>
      <c r="BH119" s="23">
        <f t="shared" si="254"/>
        <v>0</v>
      </c>
      <c r="BI119" s="23">
        <f t="shared" si="254"/>
        <v>0</v>
      </c>
      <c r="BJ119" s="23">
        <f t="shared" si="254"/>
        <v>0</v>
      </c>
      <c r="BK119" s="23">
        <f t="shared" si="254"/>
        <v>0</v>
      </c>
      <c r="BL119" s="23">
        <f>($H$119/12)*AA119</f>
        <v>6630</v>
      </c>
      <c r="BM119" s="23">
        <f aca="true" t="shared" si="255" ref="BM119:BW119">($H$119/12)*AB119</f>
        <v>6630</v>
      </c>
      <c r="BN119" s="23">
        <f t="shared" si="255"/>
        <v>6630</v>
      </c>
      <c r="BO119" s="23">
        <f t="shared" si="255"/>
        <v>6630</v>
      </c>
      <c r="BP119" s="23">
        <f t="shared" si="255"/>
        <v>6630</v>
      </c>
      <c r="BQ119" s="23">
        <f t="shared" si="255"/>
        <v>6630</v>
      </c>
      <c r="BR119" s="23">
        <f t="shared" si="255"/>
        <v>6630</v>
      </c>
      <c r="BS119" s="23">
        <f t="shared" si="255"/>
        <v>6630</v>
      </c>
      <c r="BT119" s="23">
        <f t="shared" si="255"/>
        <v>6630</v>
      </c>
      <c r="BU119" s="23">
        <f t="shared" si="255"/>
        <v>6630</v>
      </c>
      <c r="BV119" s="23">
        <f t="shared" si="255"/>
        <v>6630</v>
      </c>
      <c r="BW119" s="23">
        <f t="shared" si="255"/>
        <v>6630</v>
      </c>
      <c r="BX119" s="23">
        <f>($I$119/12)*AM119</f>
        <v>13525.199999999999</v>
      </c>
      <c r="BY119" s="23">
        <f aca="true" t="shared" si="256" ref="BY119:CI119">($I$119/12)*AN119</f>
        <v>13525.199999999999</v>
      </c>
      <c r="BZ119" s="23">
        <f t="shared" si="256"/>
        <v>13525.199999999999</v>
      </c>
      <c r="CA119" s="23">
        <f t="shared" si="256"/>
        <v>13525.199999999999</v>
      </c>
      <c r="CB119" s="23">
        <f t="shared" si="256"/>
        <v>13525.199999999999</v>
      </c>
      <c r="CC119" s="23">
        <f t="shared" si="256"/>
        <v>13525.199999999999</v>
      </c>
      <c r="CD119" s="23">
        <f t="shared" si="256"/>
        <v>13525.199999999999</v>
      </c>
      <c r="CE119" s="23">
        <f t="shared" si="256"/>
        <v>13525.199999999999</v>
      </c>
      <c r="CF119" s="23">
        <f t="shared" si="256"/>
        <v>13525.199999999999</v>
      </c>
      <c r="CG119" s="23">
        <f t="shared" si="256"/>
        <v>13525.199999999999</v>
      </c>
      <c r="CH119" s="23">
        <f t="shared" si="256"/>
        <v>13525.199999999999</v>
      </c>
      <c r="CI119" s="112">
        <f t="shared" si="256"/>
        <v>13525.199999999999</v>
      </c>
    </row>
    <row r="120" spans="1:87" s="26" customFormat="1" ht="12.75" customHeight="1">
      <c r="A120" s="211" t="s">
        <v>393</v>
      </c>
      <c r="B120" s="234">
        <v>0</v>
      </c>
      <c r="C120" s="235">
        <v>2</v>
      </c>
      <c r="D120" s="235">
        <v>6</v>
      </c>
      <c r="E120" s="246"/>
      <c r="F120" s="238">
        <v>24000</v>
      </c>
      <c r="G120" s="23">
        <f t="shared" si="233"/>
        <v>24000</v>
      </c>
      <c r="H120" s="23">
        <f t="shared" si="243"/>
        <v>24480</v>
      </c>
      <c r="I120" s="23">
        <f t="shared" si="244"/>
        <v>24969.600000000002</v>
      </c>
      <c r="J120" s="246"/>
      <c r="K120" s="158">
        <f t="shared" si="234"/>
        <v>0</v>
      </c>
      <c r="L120" s="153">
        <f t="shared" si="235"/>
        <v>48960</v>
      </c>
      <c r="M120" s="153">
        <f t="shared" si="236"/>
        <v>149817.6</v>
      </c>
      <c r="N120" s="246"/>
      <c r="O120" s="26">
        <f>$B$120</f>
        <v>0</v>
      </c>
      <c r="P120" s="26">
        <f aca="true" t="shared" si="257" ref="P120:Z120">$B$120</f>
        <v>0</v>
      </c>
      <c r="Q120" s="26">
        <f t="shared" si="257"/>
        <v>0</v>
      </c>
      <c r="R120" s="26">
        <f t="shared" si="257"/>
        <v>0</v>
      </c>
      <c r="S120" s="26">
        <f t="shared" si="257"/>
        <v>0</v>
      </c>
      <c r="T120" s="26">
        <f t="shared" si="257"/>
        <v>0</v>
      </c>
      <c r="U120" s="26">
        <f t="shared" si="257"/>
        <v>0</v>
      </c>
      <c r="V120" s="26">
        <f t="shared" si="257"/>
        <v>0</v>
      </c>
      <c r="W120" s="26">
        <f t="shared" si="257"/>
        <v>0</v>
      </c>
      <c r="X120" s="26">
        <f t="shared" si="257"/>
        <v>0</v>
      </c>
      <c r="Y120" s="26">
        <f t="shared" si="257"/>
        <v>0</v>
      </c>
      <c r="Z120" s="26">
        <f t="shared" si="257"/>
        <v>0</v>
      </c>
      <c r="AA120" s="45">
        <f>$C$120</f>
        <v>2</v>
      </c>
      <c r="AB120" s="45">
        <f aca="true" t="shared" si="258" ref="AB120:AL120">$C$120</f>
        <v>2</v>
      </c>
      <c r="AC120" s="45">
        <f t="shared" si="258"/>
        <v>2</v>
      </c>
      <c r="AD120" s="45">
        <f t="shared" si="258"/>
        <v>2</v>
      </c>
      <c r="AE120" s="45">
        <f t="shared" si="258"/>
        <v>2</v>
      </c>
      <c r="AF120" s="45">
        <f t="shared" si="258"/>
        <v>2</v>
      </c>
      <c r="AG120" s="45">
        <f t="shared" si="258"/>
        <v>2</v>
      </c>
      <c r="AH120" s="45">
        <f t="shared" si="258"/>
        <v>2</v>
      </c>
      <c r="AI120" s="45">
        <f t="shared" si="258"/>
        <v>2</v>
      </c>
      <c r="AJ120" s="45">
        <f t="shared" si="258"/>
        <v>2</v>
      </c>
      <c r="AK120" s="45">
        <f t="shared" si="258"/>
        <v>2</v>
      </c>
      <c r="AL120" s="45">
        <f t="shared" si="258"/>
        <v>2</v>
      </c>
      <c r="AM120" s="45">
        <f>$D$120</f>
        <v>6</v>
      </c>
      <c r="AN120" s="45">
        <f aca="true" t="shared" si="259" ref="AN120:AX120">$D$120</f>
        <v>6</v>
      </c>
      <c r="AO120" s="45">
        <f t="shared" si="259"/>
        <v>6</v>
      </c>
      <c r="AP120" s="45">
        <f t="shared" si="259"/>
        <v>6</v>
      </c>
      <c r="AQ120" s="45">
        <f t="shared" si="259"/>
        <v>6</v>
      </c>
      <c r="AR120" s="45">
        <f t="shared" si="259"/>
        <v>6</v>
      </c>
      <c r="AS120" s="45">
        <f t="shared" si="259"/>
        <v>6</v>
      </c>
      <c r="AT120" s="45">
        <f t="shared" si="259"/>
        <v>6</v>
      </c>
      <c r="AU120" s="45">
        <f t="shared" si="259"/>
        <v>6</v>
      </c>
      <c r="AV120" s="45">
        <f t="shared" si="259"/>
        <v>6</v>
      </c>
      <c r="AW120" s="45">
        <f t="shared" si="259"/>
        <v>6</v>
      </c>
      <c r="AX120" s="45">
        <f t="shared" si="259"/>
        <v>6</v>
      </c>
      <c r="AZ120" s="23">
        <f>($G$120/12)*O120</f>
        <v>0</v>
      </c>
      <c r="BA120" s="23">
        <f aca="true" t="shared" si="260" ref="BA120:BK120">($G$120/12)*P120</f>
        <v>0</v>
      </c>
      <c r="BB120" s="23">
        <f t="shared" si="260"/>
        <v>0</v>
      </c>
      <c r="BC120" s="23">
        <f t="shared" si="260"/>
        <v>0</v>
      </c>
      <c r="BD120" s="23">
        <f t="shared" si="260"/>
        <v>0</v>
      </c>
      <c r="BE120" s="23">
        <f t="shared" si="260"/>
        <v>0</v>
      </c>
      <c r="BF120" s="23">
        <f t="shared" si="260"/>
        <v>0</v>
      </c>
      <c r="BG120" s="23">
        <f t="shared" si="260"/>
        <v>0</v>
      </c>
      <c r="BH120" s="23">
        <f t="shared" si="260"/>
        <v>0</v>
      </c>
      <c r="BI120" s="23">
        <f t="shared" si="260"/>
        <v>0</v>
      </c>
      <c r="BJ120" s="23">
        <f t="shared" si="260"/>
        <v>0</v>
      </c>
      <c r="BK120" s="23">
        <f t="shared" si="260"/>
        <v>0</v>
      </c>
      <c r="BL120" s="23">
        <f>($H$120/12)*AA120</f>
        <v>4080</v>
      </c>
      <c r="BM120" s="23">
        <f aca="true" t="shared" si="261" ref="BM120:BW120">($H$120/12)*AB120</f>
        <v>4080</v>
      </c>
      <c r="BN120" s="23">
        <f t="shared" si="261"/>
        <v>4080</v>
      </c>
      <c r="BO120" s="23">
        <f t="shared" si="261"/>
        <v>4080</v>
      </c>
      <c r="BP120" s="23">
        <f t="shared" si="261"/>
        <v>4080</v>
      </c>
      <c r="BQ120" s="23">
        <f t="shared" si="261"/>
        <v>4080</v>
      </c>
      <c r="BR120" s="23">
        <f t="shared" si="261"/>
        <v>4080</v>
      </c>
      <c r="BS120" s="23">
        <f t="shared" si="261"/>
        <v>4080</v>
      </c>
      <c r="BT120" s="23">
        <f t="shared" si="261"/>
        <v>4080</v>
      </c>
      <c r="BU120" s="23">
        <f t="shared" si="261"/>
        <v>4080</v>
      </c>
      <c r="BV120" s="23">
        <f t="shared" si="261"/>
        <v>4080</v>
      </c>
      <c r="BW120" s="23">
        <f t="shared" si="261"/>
        <v>4080</v>
      </c>
      <c r="BX120" s="23">
        <f>($I$120/12)*AM120</f>
        <v>12484.800000000001</v>
      </c>
      <c r="BY120" s="23">
        <f aca="true" t="shared" si="262" ref="BY120:CI120">($I$120/12)*AN120</f>
        <v>12484.800000000001</v>
      </c>
      <c r="BZ120" s="23">
        <f t="shared" si="262"/>
        <v>12484.800000000001</v>
      </c>
      <c r="CA120" s="23">
        <f t="shared" si="262"/>
        <v>12484.800000000001</v>
      </c>
      <c r="CB120" s="23">
        <f t="shared" si="262"/>
        <v>12484.800000000001</v>
      </c>
      <c r="CC120" s="23">
        <f t="shared" si="262"/>
        <v>12484.800000000001</v>
      </c>
      <c r="CD120" s="23">
        <f t="shared" si="262"/>
        <v>12484.800000000001</v>
      </c>
      <c r="CE120" s="23">
        <f t="shared" si="262"/>
        <v>12484.800000000001</v>
      </c>
      <c r="CF120" s="23">
        <f t="shared" si="262"/>
        <v>12484.800000000001</v>
      </c>
      <c r="CG120" s="23">
        <f t="shared" si="262"/>
        <v>12484.800000000001</v>
      </c>
      <c r="CH120" s="23">
        <f t="shared" si="262"/>
        <v>12484.800000000001</v>
      </c>
      <c r="CI120" s="112">
        <f t="shared" si="262"/>
        <v>12484.800000000001</v>
      </c>
    </row>
    <row r="121" spans="1:87" s="26" customFormat="1" ht="12.75" customHeight="1">
      <c r="A121" s="32" t="s">
        <v>377</v>
      </c>
      <c r="B121" s="234">
        <v>0</v>
      </c>
      <c r="C121" s="235">
        <v>1</v>
      </c>
      <c r="D121" s="235">
        <v>3</v>
      </c>
      <c r="E121" s="246"/>
      <c r="F121" s="212">
        <f>F81</f>
        <v>78000</v>
      </c>
      <c r="G121" s="23">
        <f t="shared" si="233"/>
        <v>78000</v>
      </c>
      <c r="H121" s="23">
        <f t="shared" si="243"/>
        <v>79560</v>
      </c>
      <c r="I121" s="23">
        <f t="shared" si="244"/>
        <v>81151.2</v>
      </c>
      <c r="J121" s="246"/>
      <c r="K121" s="158">
        <f t="shared" si="234"/>
        <v>0</v>
      </c>
      <c r="L121" s="153">
        <f t="shared" si="235"/>
        <v>79560</v>
      </c>
      <c r="M121" s="153">
        <f t="shared" si="236"/>
        <v>243453.59999999995</v>
      </c>
      <c r="N121" s="246"/>
      <c r="O121" s="26">
        <f>$B$121</f>
        <v>0</v>
      </c>
      <c r="P121" s="26">
        <f aca="true" t="shared" si="263" ref="P121:Z121">$B$121</f>
        <v>0</v>
      </c>
      <c r="Q121" s="26">
        <f t="shared" si="263"/>
        <v>0</v>
      </c>
      <c r="R121" s="26">
        <f t="shared" si="263"/>
        <v>0</v>
      </c>
      <c r="S121" s="26">
        <f t="shared" si="263"/>
        <v>0</v>
      </c>
      <c r="T121" s="26">
        <f t="shared" si="263"/>
        <v>0</v>
      </c>
      <c r="U121" s="26">
        <f t="shared" si="263"/>
        <v>0</v>
      </c>
      <c r="V121" s="26">
        <f t="shared" si="263"/>
        <v>0</v>
      </c>
      <c r="W121" s="26">
        <f t="shared" si="263"/>
        <v>0</v>
      </c>
      <c r="X121" s="26">
        <f t="shared" si="263"/>
        <v>0</v>
      </c>
      <c r="Y121" s="26">
        <f t="shared" si="263"/>
        <v>0</v>
      </c>
      <c r="Z121" s="26">
        <f t="shared" si="263"/>
        <v>0</v>
      </c>
      <c r="AA121" s="26">
        <f>$C$121</f>
        <v>1</v>
      </c>
      <c r="AB121" s="26">
        <f aca="true" t="shared" si="264" ref="AB121:AL121">$C$121</f>
        <v>1</v>
      </c>
      <c r="AC121" s="26">
        <f t="shared" si="264"/>
        <v>1</v>
      </c>
      <c r="AD121" s="26">
        <f t="shared" si="264"/>
        <v>1</v>
      </c>
      <c r="AE121" s="26">
        <f t="shared" si="264"/>
        <v>1</v>
      </c>
      <c r="AF121" s="26">
        <f t="shared" si="264"/>
        <v>1</v>
      </c>
      <c r="AG121" s="26">
        <f t="shared" si="264"/>
        <v>1</v>
      </c>
      <c r="AH121" s="26">
        <f t="shared" si="264"/>
        <v>1</v>
      </c>
      <c r="AI121" s="26">
        <f t="shared" si="264"/>
        <v>1</v>
      </c>
      <c r="AJ121" s="26">
        <f t="shared" si="264"/>
        <v>1</v>
      </c>
      <c r="AK121" s="26">
        <f t="shared" si="264"/>
        <v>1</v>
      </c>
      <c r="AL121" s="26">
        <f t="shared" si="264"/>
        <v>1</v>
      </c>
      <c r="AM121" s="26">
        <f>$D$121</f>
        <v>3</v>
      </c>
      <c r="AN121" s="26">
        <f aca="true" t="shared" si="265" ref="AN121:AX121">$D$121</f>
        <v>3</v>
      </c>
      <c r="AO121" s="26">
        <f t="shared" si="265"/>
        <v>3</v>
      </c>
      <c r="AP121" s="26">
        <f t="shared" si="265"/>
        <v>3</v>
      </c>
      <c r="AQ121" s="26">
        <f t="shared" si="265"/>
        <v>3</v>
      </c>
      <c r="AR121" s="26">
        <f t="shared" si="265"/>
        <v>3</v>
      </c>
      <c r="AS121" s="26">
        <f t="shared" si="265"/>
        <v>3</v>
      </c>
      <c r="AT121" s="26">
        <f t="shared" si="265"/>
        <v>3</v>
      </c>
      <c r="AU121" s="26">
        <f t="shared" si="265"/>
        <v>3</v>
      </c>
      <c r="AV121" s="26">
        <f t="shared" si="265"/>
        <v>3</v>
      </c>
      <c r="AW121" s="26">
        <f t="shared" si="265"/>
        <v>3</v>
      </c>
      <c r="AX121" s="26">
        <f t="shared" si="265"/>
        <v>3</v>
      </c>
      <c r="AZ121" s="23">
        <f>($G$121/12)*O121</f>
        <v>0</v>
      </c>
      <c r="BA121" s="23">
        <f aca="true" t="shared" si="266" ref="BA121:BK121">($G$121/12)*P121</f>
        <v>0</v>
      </c>
      <c r="BB121" s="23">
        <f t="shared" si="266"/>
        <v>0</v>
      </c>
      <c r="BC121" s="23">
        <f t="shared" si="266"/>
        <v>0</v>
      </c>
      <c r="BD121" s="23">
        <f t="shared" si="266"/>
        <v>0</v>
      </c>
      <c r="BE121" s="23">
        <f t="shared" si="266"/>
        <v>0</v>
      </c>
      <c r="BF121" s="23">
        <f t="shared" si="266"/>
        <v>0</v>
      </c>
      <c r="BG121" s="23">
        <f t="shared" si="266"/>
        <v>0</v>
      </c>
      <c r="BH121" s="23">
        <f t="shared" si="266"/>
        <v>0</v>
      </c>
      <c r="BI121" s="23">
        <f t="shared" si="266"/>
        <v>0</v>
      </c>
      <c r="BJ121" s="23">
        <f t="shared" si="266"/>
        <v>0</v>
      </c>
      <c r="BK121" s="23">
        <f t="shared" si="266"/>
        <v>0</v>
      </c>
      <c r="BL121" s="23">
        <f>($H$121/12)*AA121</f>
        <v>6630</v>
      </c>
      <c r="BM121" s="23">
        <f aca="true" t="shared" si="267" ref="BM121:BW121">($H$121/12)*AB121</f>
        <v>6630</v>
      </c>
      <c r="BN121" s="23">
        <f t="shared" si="267"/>
        <v>6630</v>
      </c>
      <c r="BO121" s="23">
        <f t="shared" si="267"/>
        <v>6630</v>
      </c>
      <c r="BP121" s="23">
        <f t="shared" si="267"/>
        <v>6630</v>
      </c>
      <c r="BQ121" s="23">
        <f t="shared" si="267"/>
        <v>6630</v>
      </c>
      <c r="BR121" s="23">
        <f t="shared" si="267"/>
        <v>6630</v>
      </c>
      <c r="BS121" s="23">
        <f t="shared" si="267"/>
        <v>6630</v>
      </c>
      <c r="BT121" s="23">
        <f t="shared" si="267"/>
        <v>6630</v>
      </c>
      <c r="BU121" s="23">
        <f t="shared" si="267"/>
        <v>6630</v>
      </c>
      <c r="BV121" s="23">
        <f t="shared" si="267"/>
        <v>6630</v>
      </c>
      <c r="BW121" s="23">
        <f t="shared" si="267"/>
        <v>6630</v>
      </c>
      <c r="BX121" s="23">
        <f>($I$121/12)*AM121</f>
        <v>20287.8</v>
      </c>
      <c r="BY121" s="23">
        <f aca="true" t="shared" si="268" ref="BY121:CI121">($I$121/12)*AN121</f>
        <v>20287.8</v>
      </c>
      <c r="BZ121" s="23">
        <f t="shared" si="268"/>
        <v>20287.8</v>
      </c>
      <c r="CA121" s="23">
        <f t="shared" si="268"/>
        <v>20287.8</v>
      </c>
      <c r="CB121" s="23">
        <f t="shared" si="268"/>
        <v>20287.8</v>
      </c>
      <c r="CC121" s="23">
        <f t="shared" si="268"/>
        <v>20287.8</v>
      </c>
      <c r="CD121" s="23">
        <f t="shared" si="268"/>
        <v>20287.8</v>
      </c>
      <c r="CE121" s="23">
        <f t="shared" si="268"/>
        <v>20287.8</v>
      </c>
      <c r="CF121" s="23">
        <f t="shared" si="268"/>
        <v>20287.8</v>
      </c>
      <c r="CG121" s="23">
        <f t="shared" si="268"/>
        <v>20287.8</v>
      </c>
      <c r="CH121" s="23">
        <f t="shared" si="268"/>
        <v>20287.8</v>
      </c>
      <c r="CI121" s="112">
        <f t="shared" si="268"/>
        <v>20287.8</v>
      </c>
    </row>
    <row r="122" spans="1:87" s="26" customFormat="1" ht="12.75" customHeight="1">
      <c r="A122" s="211" t="s">
        <v>375</v>
      </c>
      <c r="B122" s="234">
        <v>0</v>
      </c>
      <c r="C122" s="235">
        <v>0.3</v>
      </c>
      <c r="D122" s="235">
        <v>0.6</v>
      </c>
      <c r="E122" s="246"/>
      <c r="F122" s="212">
        <f>F80</f>
        <v>78000</v>
      </c>
      <c r="G122" s="23">
        <f t="shared" si="233"/>
        <v>78000</v>
      </c>
      <c r="H122" s="23">
        <f t="shared" si="243"/>
        <v>79560</v>
      </c>
      <c r="I122" s="23">
        <f t="shared" si="244"/>
        <v>81151.2</v>
      </c>
      <c r="J122" s="246"/>
      <c r="K122" s="158">
        <f t="shared" si="234"/>
        <v>0</v>
      </c>
      <c r="L122" s="153">
        <f t="shared" si="235"/>
        <v>23868</v>
      </c>
      <c r="M122" s="153">
        <f t="shared" si="236"/>
        <v>48690.71999999998</v>
      </c>
      <c r="N122" s="246"/>
      <c r="O122" s="26">
        <f>$B$122</f>
        <v>0</v>
      </c>
      <c r="P122" s="26">
        <f aca="true" t="shared" si="269" ref="P122:Z122">$B$122</f>
        <v>0</v>
      </c>
      <c r="Q122" s="26">
        <f t="shared" si="269"/>
        <v>0</v>
      </c>
      <c r="R122" s="26">
        <f t="shared" si="269"/>
        <v>0</v>
      </c>
      <c r="S122" s="26">
        <f t="shared" si="269"/>
        <v>0</v>
      </c>
      <c r="T122" s="26">
        <f t="shared" si="269"/>
        <v>0</v>
      </c>
      <c r="U122" s="26">
        <f t="shared" si="269"/>
        <v>0</v>
      </c>
      <c r="V122" s="26">
        <f t="shared" si="269"/>
        <v>0</v>
      </c>
      <c r="W122" s="26">
        <f t="shared" si="269"/>
        <v>0</v>
      </c>
      <c r="X122" s="26">
        <f t="shared" si="269"/>
        <v>0</v>
      </c>
      <c r="Y122" s="26">
        <f t="shared" si="269"/>
        <v>0</v>
      </c>
      <c r="Z122" s="26">
        <f t="shared" si="269"/>
        <v>0</v>
      </c>
      <c r="AA122" s="45">
        <f>$C$122</f>
        <v>0.3</v>
      </c>
      <c r="AB122" s="45">
        <f aca="true" t="shared" si="270" ref="AB122:AL122">$C$122</f>
        <v>0.3</v>
      </c>
      <c r="AC122" s="45">
        <f t="shared" si="270"/>
        <v>0.3</v>
      </c>
      <c r="AD122" s="45">
        <f t="shared" si="270"/>
        <v>0.3</v>
      </c>
      <c r="AE122" s="45">
        <f t="shared" si="270"/>
        <v>0.3</v>
      </c>
      <c r="AF122" s="45">
        <f t="shared" si="270"/>
        <v>0.3</v>
      </c>
      <c r="AG122" s="45">
        <f t="shared" si="270"/>
        <v>0.3</v>
      </c>
      <c r="AH122" s="45">
        <f t="shared" si="270"/>
        <v>0.3</v>
      </c>
      <c r="AI122" s="45">
        <f t="shared" si="270"/>
        <v>0.3</v>
      </c>
      <c r="AJ122" s="45">
        <f t="shared" si="270"/>
        <v>0.3</v>
      </c>
      <c r="AK122" s="45">
        <f t="shared" si="270"/>
        <v>0.3</v>
      </c>
      <c r="AL122" s="45">
        <f t="shared" si="270"/>
        <v>0.3</v>
      </c>
      <c r="AM122" s="45">
        <f>$D$122</f>
        <v>0.6</v>
      </c>
      <c r="AN122" s="45">
        <f aca="true" t="shared" si="271" ref="AN122:AX122">$D$122</f>
        <v>0.6</v>
      </c>
      <c r="AO122" s="45">
        <f t="shared" si="271"/>
        <v>0.6</v>
      </c>
      <c r="AP122" s="45">
        <f t="shared" si="271"/>
        <v>0.6</v>
      </c>
      <c r="AQ122" s="45">
        <f t="shared" si="271"/>
        <v>0.6</v>
      </c>
      <c r="AR122" s="45">
        <f t="shared" si="271"/>
        <v>0.6</v>
      </c>
      <c r="AS122" s="45">
        <f t="shared" si="271"/>
        <v>0.6</v>
      </c>
      <c r="AT122" s="45">
        <f t="shared" si="271"/>
        <v>0.6</v>
      </c>
      <c r="AU122" s="45">
        <f t="shared" si="271"/>
        <v>0.6</v>
      </c>
      <c r="AV122" s="45">
        <f t="shared" si="271"/>
        <v>0.6</v>
      </c>
      <c r="AW122" s="45">
        <f t="shared" si="271"/>
        <v>0.6</v>
      </c>
      <c r="AX122" s="45">
        <f t="shared" si="271"/>
        <v>0.6</v>
      </c>
      <c r="AZ122" s="23">
        <f>($G$122/12)*O122</f>
        <v>0</v>
      </c>
      <c r="BA122" s="23">
        <f aca="true" t="shared" si="272" ref="BA122:BK122">($G$122/12)*P122</f>
        <v>0</v>
      </c>
      <c r="BB122" s="23">
        <f t="shared" si="272"/>
        <v>0</v>
      </c>
      <c r="BC122" s="23">
        <f t="shared" si="272"/>
        <v>0</v>
      </c>
      <c r="BD122" s="23">
        <f t="shared" si="272"/>
        <v>0</v>
      </c>
      <c r="BE122" s="23">
        <f t="shared" si="272"/>
        <v>0</v>
      </c>
      <c r="BF122" s="23">
        <f t="shared" si="272"/>
        <v>0</v>
      </c>
      <c r="BG122" s="23">
        <f t="shared" si="272"/>
        <v>0</v>
      </c>
      <c r="BH122" s="23">
        <f t="shared" si="272"/>
        <v>0</v>
      </c>
      <c r="BI122" s="23">
        <f t="shared" si="272"/>
        <v>0</v>
      </c>
      <c r="BJ122" s="23">
        <f t="shared" si="272"/>
        <v>0</v>
      </c>
      <c r="BK122" s="23">
        <f t="shared" si="272"/>
        <v>0</v>
      </c>
      <c r="BL122" s="23">
        <f>($H$122/12)*AA122</f>
        <v>1989</v>
      </c>
      <c r="BM122" s="23">
        <f aca="true" t="shared" si="273" ref="BM122:BW122">($H$122/12)*AB122</f>
        <v>1989</v>
      </c>
      <c r="BN122" s="23">
        <f t="shared" si="273"/>
        <v>1989</v>
      </c>
      <c r="BO122" s="23">
        <f t="shared" si="273"/>
        <v>1989</v>
      </c>
      <c r="BP122" s="23">
        <f t="shared" si="273"/>
        <v>1989</v>
      </c>
      <c r="BQ122" s="23">
        <f t="shared" si="273"/>
        <v>1989</v>
      </c>
      <c r="BR122" s="23">
        <f t="shared" si="273"/>
        <v>1989</v>
      </c>
      <c r="BS122" s="23">
        <f t="shared" si="273"/>
        <v>1989</v>
      </c>
      <c r="BT122" s="23">
        <f t="shared" si="273"/>
        <v>1989</v>
      </c>
      <c r="BU122" s="23">
        <f t="shared" si="273"/>
        <v>1989</v>
      </c>
      <c r="BV122" s="23">
        <f t="shared" si="273"/>
        <v>1989</v>
      </c>
      <c r="BW122" s="23">
        <f t="shared" si="273"/>
        <v>1989</v>
      </c>
      <c r="BX122" s="23">
        <f>($I$122/12)*AM122</f>
        <v>4057.5599999999995</v>
      </c>
      <c r="BY122" s="23">
        <f aca="true" t="shared" si="274" ref="BY122:CI122">($I$122/12)*AN122</f>
        <v>4057.5599999999995</v>
      </c>
      <c r="BZ122" s="23">
        <f t="shared" si="274"/>
        <v>4057.5599999999995</v>
      </c>
      <c r="CA122" s="23">
        <f t="shared" si="274"/>
        <v>4057.5599999999995</v>
      </c>
      <c r="CB122" s="23">
        <f t="shared" si="274"/>
        <v>4057.5599999999995</v>
      </c>
      <c r="CC122" s="23">
        <f t="shared" si="274"/>
        <v>4057.5599999999995</v>
      </c>
      <c r="CD122" s="23">
        <f t="shared" si="274"/>
        <v>4057.5599999999995</v>
      </c>
      <c r="CE122" s="23">
        <f t="shared" si="274"/>
        <v>4057.5599999999995</v>
      </c>
      <c r="CF122" s="23">
        <f t="shared" si="274"/>
        <v>4057.5599999999995</v>
      </c>
      <c r="CG122" s="23">
        <f t="shared" si="274"/>
        <v>4057.5599999999995</v>
      </c>
      <c r="CH122" s="23">
        <f t="shared" si="274"/>
        <v>4057.5599999999995</v>
      </c>
      <c r="CI122" s="112">
        <f t="shared" si="274"/>
        <v>4057.5599999999995</v>
      </c>
    </row>
    <row r="123" spans="1:87" s="26" customFormat="1" ht="12.75" customHeight="1">
      <c r="A123" s="211" t="s">
        <v>376</v>
      </c>
      <c r="B123" s="234">
        <v>0</v>
      </c>
      <c r="C123" s="235">
        <v>0.3</v>
      </c>
      <c r="D123" s="235">
        <v>0.6</v>
      </c>
      <c r="E123" s="246"/>
      <c r="F123" s="238">
        <v>78000</v>
      </c>
      <c r="G123" s="23">
        <f t="shared" si="233"/>
        <v>78000</v>
      </c>
      <c r="H123" s="23">
        <f t="shared" si="243"/>
        <v>79560</v>
      </c>
      <c r="I123" s="23">
        <f t="shared" si="244"/>
        <v>81151.2</v>
      </c>
      <c r="J123" s="246"/>
      <c r="K123" s="158">
        <f t="shared" si="234"/>
        <v>0</v>
      </c>
      <c r="L123" s="153">
        <f t="shared" si="235"/>
        <v>23868</v>
      </c>
      <c r="M123" s="153">
        <f t="shared" si="236"/>
        <v>48690.71999999998</v>
      </c>
      <c r="N123" s="246"/>
      <c r="O123" s="26">
        <f>$B$123</f>
        <v>0</v>
      </c>
      <c r="P123" s="26">
        <f aca="true" t="shared" si="275" ref="P123:Z123">$B$123</f>
        <v>0</v>
      </c>
      <c r="Q123" s="26">
        <f t="shared" si="275"/>
        <v>0</v>
      </c>
      <c r="R123" s="26">
        <f t="shared" si="275"/>
        <v>0</v>
      </c>
      <c r="S123" s="26">
        <f t="shared" si="275"/>
        <v>0</v>
      </c>
      <c r="T123" s="26">
        <f t="shared" si="275"/>
        <v>0</v>
      </c>
      <c r="U123" s="26">
        <f t="shared" si="275"/>
        <v>0</v>
      </c>
      <c r="V123" s="26">
        <f t="shared" si="275"/>
        <v>0</v>
      </c>
      <c r="W123" s="26">
        <f t="shared" si="275"/>
        <v>0</v>
      </c>
      <c r="X123" s="26">
        <f t="shared" si="275"/>
        <v>0</v>
      </c>
      <c r="Y123" s="26">
        <f t="shared" si="275"/>
        <v>0</v>
      </c>
      <c r="Z123" s="26">
        <f t="shared" si="275"/>
        <v>0</v>
      </c>
      <c r="AA123" s="45">
        <f>$C$123</f>
        <v>0.3</v>
      </c>
      <c r="AB123" s="45">
        <f aca="true" t="shared" si="276" ref="AB123:AL123">$C$123</f>
        <v>0.3</v>
      </c>
      <c r="AC123" s="45">
        <f t="shared" si="276"/>
        <v>0.3</v>
      </c>
      <c r="AD123" s="45">
        <f t="shared" si="276"/>
        <v>0.3</v>
      </c>
      <c r="AE123" s="45">
        <f t="shared" si="276"/>
        <v>0.3</v>
      </c>
      <c r="AF123" s="45">
        <f t="shared" si="276"/>
        <v>0.3</v>
      </c>
      <c r="AG123" s="45">
        <f t="shared" si="276"/>
        <v>0.3</v>
      </c>
      <c r="AH123" s="45">
        <f t="shared" si="276"/>
        <v>0.3</v>
      </c>
      <c r="AI123" s="45">
        <f t="shared" si="276"/>
        <v>0.3</v>
      </c>
      <c r="AJ123" s="45">
        <f t="shared" si="276"/>
        <v>0.3</v>
      </c>
      <c r="AK123" s="45">
        <f t="shared" si="276"/>
        <v>0.3</v>
      </c>
      <c r="AL123" s="45">
        <f t="shared" si="276"/>
        <v>0.3</v>
      </c>
      <c r="AM123" s="45">
        <f>$D$123</f>
        <v>0.6</v>
      </c>
      <c r="AN123" s="45">
        <f aca="true" t="shared" si="277" ref="AN123:AX123">$D$123</f>
        <v>0.6</v>
      </c>
      <c r="AO123" s="45">
        <f t="shared" si="277"/>
        <v>0.6</v>
      </c>
      <c r="AP123" s="45">
        <f t="shared" si="277"/>
        <v>0.6</v>
      </c>
      <c r="AQ123" s="45">
        <f t="shared" si="277"/>
        <v>0.6</v>
      </c>
      <c r="AR123" s="45">
        <f t="shared" si="277"/>
        <v>0.6</v>
      </c>
      <c r="AS123" s="45">
        <f t="shared" si="277"/>
        <v>0.6</v>
      </c>
      <c r="AT123" s="45">
        <f t="shared" si="277"/>
        <v>0.6</v>
      </c>
      <c r="AU123" s="45">
        <f t="shared" si="277"/>
        <v>0.6</v>
      </c>
      <c r="AV123" s="45">
        <f t="shared" si="277"/>
        <v>0.6</v>
      </c>
      <c r="AW123" s="45">
        <f t="shared" si="277"/>
        <v>0.6</v>
      </c>
      <c r="AX123" s="45">
        <f t="shared" si="277"/>
        <v>0.6</v>
      </c>
      <c r="AZ123" s="23">
        <f>($G$123/12)*O123</f>
        <v>0</v>
      </c>
      <c r="BA123" s="23">
        <f aca="true" t="shared" si="278" ref="BA123:BK123">($G$123/12)*P123</f>
        <v>0</v>
      </c>
      <c r="BB123" s="23">
        <f t="shared" si="278"/>
        <v>0</v>
      </c>
      <c r="BC123" s="23">
        <f t="shared" si="278"/>
        <v>0</v>
      </c>
      <c r="BD123" s="23">
        <f t="shared" si="278"/>
        <v>0</v>
      </c>
      <c r="BE123" s="23">
        <f t="shared" si="278"/>
        <v>0</v>
      </c>
      <c r="BF123" s="23">
        <f t="shared" si="278"/>
        <v>0</v>
      </c>
      <c r="BG123" s="23">
        <f t="shared" si="278"/>
        <v>0</v>
      </c>
      <c r="BH123" s="23">
        <f t="shared" si="278"/>
        <v>0</v>
      </c>
      <c r="BI123" s="23">
        <f t="shared" si="278"/>
        <v>0</v>
      </c>
      <c r="BJ123" s="23">
        <f t="shared" si="278"/>
        <v>0</v>
      </c>
      <c r="BK123" s="23">
        <f t="shared" si="278"/>
        <v>0</v>
      </c>
      <c r="BL123" s="23">
        <f>($H$123/12)*AA123</f>
        <v>1989</v>
      </c>
      <c r="BM123" s="23">
        <f aca="true" t="shared" si="279" ref="BM123:BW123">($H$123/12)*AB123</f>
        <v>1989</v>
      </c>
      <c r="BN123" s="23">
        <f t="shared" si="279"/>
        <v>1989</v>
      </c>
      <c r="BO123" s="23">
        <f t="shared" si="279"/>
        <v>1989</v>
      </c>
      <c r="BP123" s="23">
        <f t="shared" si="279"/>
        <v>1989</v>
      </c>
      <c r="BQ123" s="23">
        <f t="shared" si="279"/>
        <v>1989</v>
      </c>
      <c r="BR123" s="23">
        <f t="shared" si="279"/>
        <v>1989</v>
      </c>
      <c r="BS123" s="23">
        <f t="shared" si="279"/>
        <v>1989</v>
      </c>
      <c r="BT123" s="23">
        <f t="shared" si="279"/>
        <v>1989</v>
      </c>
      <c r="BU123" s="23">
        <f t="shared" si="279"/>
        <v>1989</v>
      </c>
      <c r="BV123" s="23">
        <f t="shared" si="279"/>
        <v>1989</v>
      </c>
      <c r="BW123" s="23">
        <f t="shared" si="279"/>
        <v>1989</v>
      </c>
      <c r="BX123" s="23">
        <f>($I$123/12)*AM123</f>
        <v>4057.5599999999995</v>
      </c>
      <c r="BY123" s="23">
        <f aca="true" t="shared" si="280" ref="BY123:CI123">($I$123/12)*AN123</f>
        <v>4057.5599999999995</v>
      </c>
      <c r="BZ123" s="23">
        <f t="shared" si="280"/>
        <v>4057.5599999999995</v>
      </c>
      <c r="CA123" s="23">
        <f t="shared" si="280"/>
        <v>4057.5599999999995</v>
      </c>
      <c r="CB123" s="23">
        <f t="shared" si="280"/>
        <v>4057.5599999999995</v>
      </c>
      <c r="CC123" s="23">
        <f t="shared" si="280"/>
        <v>4057.5599999999995</v>
      </c>
      <c r="CD123" s="23">
        <f t="shared" si="280"/>
        <v>4057.5599999999995</v>
      </c>
      <c r="CE123" s="23">
        <f t="shared" si="280"/>
        <v>4057.5599999999995</v>
      </c>
      <c r="CF123" s="23">
        <f t="shared" si="280"/>
        <v>4057.5599999999995</v>
      </c>
      <c r="CG123" s="23">
        <f t="shared" si="280"/>
        <v>4057.5599999999995</v>
      </c>
      <c r="CH123" s="23">
        <f t="shared" si="280"/>
        <v>4057.5599999999995</v>
      </c>
      <c r="CI123" s="112">
        <f t="shared" si="280"/>
        <v>4057.5599999999995</v>
      </c>
    </row>
    <row r="124" spans="1:87" s="26" customFormat="1" ht="12.75" customHeight="1">
      <c r="A124" s="211" t="s">
        <v>394</v>
      </c>
      <c r="B124" s="234">
        <v>0</v>
      </c>
      <c r="C124" s="235">
        <v>0.3</v>
      </c>
      <c r="D124" s="235">
        <v>0.6</v>
      </c>
      <c r="E124" s="246"/>
      <c r="F124" s="238">
        <v>60000</v>
      </c>
      <c r="G124" s="23">
        <f t="shared" si="233"/>
        <v>60000</v>
      </c>
      <c r="H124" s="23">
        <f t="shared" si="243"/>
        <v>61200</v>
      </c>
      <c r="I124" s="23">
        <f t="shared" si="244"/>
        <v>62424</v>
      </c>
      <c r="J124" s="246"/>
      <c r="K124" s="158">
        <f t="shared" si="234"/>
        <v>0</v>
      </c>
      <c r="L124" s="153">
        <f t="shared" si="235"/>
        <v>18360</v>
      </c>
      <c r="M124" s="153">
        <f t="shared" si="236"/>
        <v>37454.4</v>
      </c>
      <c r="N124" s="246"/>
      <c r="O124" s="26">
        <f>$B$124</f>
        <v>0</v>
      </c>
      <c r="P124" s="26">
        <f aca="true" t="shared" si="281" ref="P124:Z124">$B$124</f>
        <v>0</v>
      </c>
      <c r="Q124" s="26">
        <f t="shared" si="281"/>
        <v>0</v>
      </c>
      <c r="R124" s="26">
        <f t="shared" si="281"/>
        <v>0</v>
      </c>
      <c r="S124" s="26">
        <f t="shared" si="281"/>
        <v>0</v>
      </c>
      <c r="T124" s="26">
        <f t="shared" si="281"/>
        <v>0</v>
      </c>
      <c r="U124" s="26">
        <f t="shared" si="281"/>
        <v>0</v>
      </c>
      <c r="V124" s="26">
        <f t="shared" si="281"/>
        <v>0</v>
      </c>
      <c r="W124" s="26">
        <f t="shared" si="281"/>
        <v>0</v>
      </c>
      <c r="X124" s="26">
        <f t="shared" si="281"/>
        <v>0</v>
      </c>
      <c r="Y124" s="26">
        <f t="shared" si="281"/>
        <v>0</v>
      </c>
      <c r="Z124" s="26">
        <f t="shared" si="281"/>
        <v>0</v>
      </c>
      <c r="AA124" s="45">
        <f>$C$124</f>
        <v>0.3</v>
      </c>
      <c r="AB124" s="45">
        <f aca="true" t="shared" si="282" ref="AB124:AL124">$C$124</f>
        <v>0.3</v>
      </c>
      <c r="AC124" s="45">
        <f t="shared" si="282"/>
        <v>0.3</v>
      </c>
      <c r="AD124" s="45">
        <f t="shared" si="282"/>
        <v>0.3</v>
      </c>
      <c r="AE124" s="45">
        <f t="shared" si="282"/>
        <v>0.3</v>
      </c>
      <c r="AF124" s="45">
        <f t="shared" si="282"/>
        <v>0.3</v>
      </c>
      <c r="AG124" s="45">
        <f t="shared" si="282"/>
        <v>0.3</v>
      </c>
      <c r="AH124" s="45">
        <f t="shared" si="282"/>
        <v>0.3</v>
      </c>
      <c r="AI124" s="45">
        <f t="shared" si="282"/>
        <v>0.3</v>
      </c>
      <c r="AJ124" s="45">
        <f t="shared" si="282"/>
        <v>0.3</v>
      </c>
      <c r="AK124" s="45">
        <f t="shared" si="282"/>
        <v>0.3</v>
      </c>
      <c r="AL124" s="45">
        <f t="shared" si="282"/>
        <v>0.3</v>
      </c>
      <c r="AM124" s="45">
        <f>$D$124</f>
        <v>0.6</v>
      </c>
      <c r="AN124" s="45">
        <f aca="true" t="shared" si="283" ref="AN124:AX124">$D$124</f>
        <v>0.6</v>
      </c>
      <c r="AO124" s="45">
        <f t="shared" si="283"/>
        <v>0.6</v>
      </c>
      <c r="AP124" s="45">
        <f t="shared" si="283"/>
        <v>0.6</v>
      </c>
      <c r="AQ124" s="45">
        <f t="shared" si="283"/>
        <v>0.6</v>
      </c>
      <c r="AR124" s="45">
        <f t="shared" si="283"/>
        <v>0.6</v>
      </c>
      <c r="AS124" s="45">
        <f t="shared" si="283"/>
        <v>0.6</v>
      </c>
      <c r="AT124" s="45">
        <f t="shared" si="283"/>
        <v>0.6</v>
      </c>
      <c r="AU124" s="45">
        <f t="shared" si="283"/>
        <v>0.6</v>
      </c>
      <c r="AV124" s="45">
        <f t="shared" si="283"/>
        <v>0.6</v>
      </c>
      <c r="AW124" s="45">
        <f t="shared" si="283"/>
        <v>0.6</v>
      </c>
      <c r="AX124" s="45">
        <f t="shared" si="283"/>
        <v>0.6</v>
      </c>
      <c r="AZ124" s="23">
        <f>($G$124/12)*O124</f>
        <v>0</v>
      </c>
      <c r="BA124" s="23">
        <f aca="true" t="shared" si="284" ref="BA124:BK124">($G$124/12)*P124</f>
        <v>0</v>
      </c>
      <c r="BB124" s="23">
        <f t="shared" si="284"/>
        <v>0</v>
      </c>
      <c r="BC124" s="23">
        <f t="shared" si="284"/>
        <v>0</v>
      </c>
      <c r="BD124" s="23">
        <f t="shared" si="284"/>
        <v>0</v>
      </c>
      <c r="BE124" s="23">
        <f t="shared" si="284"/>
        <v>0</v>
      </c>
      <c r="BF124" s="23">
        <f t="shared" si="284"/>
        <v>0</v>
      </c>
      <c r="BG124" s="23">
        <f t="shared" si="284"/>
        <v>0</v>
      </c>
      <c r="BH124" s="23">
        <f t="shared" si="284"/>
        <v>0</v>
      </c>
      <c r="BI124" s="23">
        <f t="shared" si="284"/>
        <v>0</v>
      </c>
      <c r="BJ124" s="23">
        <f t="shared" si="284"/>
        <v>0</v>
      </c>
      <c r="BK124" s="23">
        <f t="shared" si="284"/>
        <v>0</v>
      </c>
      <c r="BL124" s="23">
        <f>($H$124/12)*AA124</f>
        <v>1530</v>
      </c>
      <c r="BM124" s="23">
        <f aca="true" t="shared" si="285" ref="BM124:BW124">($H$124/12)*AB124</f>
        <v>1530</v>
      </c>
      <c r="BN124" s="23">
        <f t="shared" si="285"/>
        <v>1530</v>
      </c>
      <c r="BO124" s="23">
        <f t="shared" si="285"/>
        <v>1530</v>
      </c>
      <c r="BP124" s="23">
        <f t="shared" si="285"/>
        <v>1530</v>
      </c>
      <c r="BQ124" s="23">
        <f t="shared" si="285"/>
        <v>1530</v>
      </c>
      <c r="BR124" s="23">
        <f t="shared" si="285"/>
        <v>1530</v>
      </c>
      <c r="BS124" s="23">
        <f t="shared" si="285"/>
        <v>1530</v>
      </c>
      <c r="BT124" s="23">
        <f t="shared" si="285"/>
        <v>1530</v>
      </c>
      <c r="BU124" s="23">
        <f t="shared" si="285"/>
        <v>1530</v>
      </c>
      <c r="BV124" s="23">
        <f t="shared" si="285"/>
        <v>1530</v>
      </c>
      <c r="BW124" s="23">
        <f t="shared" si="285"/>
        <v>1530</v>
      </c>
      <c r="BX124" s="23">
        <f>($I$124/12)*AM124</f>
        <v>3121.2</v>
      </c>
      <c r="BY124" s="23">
        <f aca="true" t="shared" si="286" ref="BY124:CI124">($I$124/12)*AN124</f>
        <v>3121.2</v>
      </c>
      <c r="BZ124" s="23">
        <f t="shared" si="286"/>
        <v>3121.2</v>
      </c>
      <c r="CA124" s="23">
        <f t="shared" si="286"/>
        <v>3121.2</v>
      </c>
      <c r="CB124" s="23">
        <f t="shared" si="286"/>
        <v>3121.2</v>
      </c>
      <c r="CC124" s="23">
        <f t="shared" si="286"/>
        <v>3121.2</v>
      </c>
      <c r="CD124" s="23">
        <f t="shared" si="286"/>
        <v>3121.2</v>
      </c>
      <c r="CE124" s="23">
        <f t="shared" si="286"/>
        <v>3121.2</v>
      </c>
      <c r="CF124" s="23">
        <f t="shared" si="286"/>
        <v>3121.2</v>
      </c>
      <c r="CG124" s="23">
        <f t="shared" si="286"/>
        <v>3121.2</v>
      </c>
      <c r="CH124" s="23">
        <f t="shared" si="286"/>
        <v>3121.2</v>
      </c>
      <c r="CI124" s="112">
        <f t="shared" si="286"/>
        <v>3121.2</v>
      </c>
    </row>
    <row r="125" spans="1:87" s="26" customFormat="1" ht="12.75" customHeight="1">
      <c r="A125" s="211" t="s">
        <v>372</v>
      </c>
      <c r="B125" s="234">
        <v>0</v>
      </c>
      <c r="C125" s="235">
        <v>1</v>
      </c>
      <c r="D125" s="235">
        <v>2</v>
      </c>
      <c r="E125" s="246"/>
      <c r="F125" s="238">
        <v>35000</v>
      </c>
      <c r="G125" s="23">
        <f t="shared" si="233"/>
        <v>35000</v>
      </c>
      <c r="H125" s="23">
        <f t="shared" si="243"/>
        <v>35700</v>
      </c>
      <c r="I125" s="23">
        <f t="shared" si="244"/>
        <v>36414</v>
      </c>
      <c r="J125" s="246"/>
      <c r="K125" s="158">
        <f t="shared" si="234"/>
        <v>0</v>
      </c>
      <c r="L125" s="153">
        <f t="shared" si="235"/>
        <v>35700</v>
      </c>
      <c r="M125" s="153">
        <f t="shared" si="236"/>
        <v>72828</v>
      </c>
      <c r="N125" s="246"/>
      <c r="O125" s="26">
        <f>$B$125</f>
        <v>0</v>
      </c>
      <c r="P125" s="26">
        <f aca="true" t="shared" si="287" ref="P125:Z125">$B$125</f>
        <v>0</v>
      </c>
      <c r="Q125" s="26">
        <f t="shared" si="287"/>
        <v>0</v>
      </c>
      <c r="R125" s="26">
        <f t="shared" si="287"/>
        <v>0</v>
      </c>
      <c r="S125" s="26">
        <f t="shared" si="287"/>
        <v>0</v>
      </c>
      <c r="T125" s="26">
        <f t="shared" si="287"/>
        <v>0</v>
      </c>
      <c r="U125" s="26">
        <f t="shared" si="287"/>
        <v>0</v>
      </c>
      <c r="V125" s="26">
        <f t="shared" si="287"/>
        <v>0</v>
      </c>
      <c r="W125" s="26">
        <f t="shared" si="287"/>
        <v>0</v>
      </c>
      <c r="X125" s="26">
        <f t="shared" si="287"/>
        <v>0</v>
      </c>
      <c r="Y125" s="26">
        <f t="shared" si="287"/>
        <v>0</v>
      </c>
      <c r="Z125" s="26">
        <f t="shared" si="287"/>
        <v>0</v>
      </c>
      <c r="AA125" s="45">
        <f>$C$125</f>
        <v>1</v>
      </c>
      <c r="AB125" s="45">
        <f aca="true" t="shared" si="288" ref="AB125:AL125">$C$125</f>
        <v>1</v>
      </c>
      <c r="AC125" s="45">
        <f t="shared" si="288"/>
        <v>1</v>
      </c>
      <c r="AD125" s="45">
        <f t="shared" si="288"/>
        <v>1</v>
      </c>
      <c r="AE125" s="45">
        <f t="shared" si="288"/>
        <v>1</v>
      </c>
      <c r="AF125" s="45">
        <f t="shared" si="288"/>
        <v>1</v>
      </c>
      <c r="AG125" s="45">
        <f t="shared" si="288"/>
        <v>1</v>
      </c>
      <c r="AH125" s="45">
        <f t="shared" si="288"/>
        <v>1</v>
      </c>
      <c r="AI125" s="45">
        <f t="shared" si="288"/>
        <v>1</v>
      </c>
      <c r="AJ125" s="45">
        <f t="shared" si="288"/>
        <v>1</v>
      </c>
      <c r="AK125" s="45">
        <f t="shared" si="288"/>
        <v>1</v>
      </c>
      <c r="AL125" s="45">
        <f t="shared" si="288"/>
        <v>1</v>
      </c>
      <c r="AM125" s="45">
        <f>$D$125</f>
        <v>2</v>
      </c>
      <c r="AN125" s="45">
        <f aca="true" t="shared" si="289" ref="AN125:AX125">$D$125</f>
        <v>2</v>
      </c>
      <c r="AO125" s="45">
        <f t="shared" si="289"/>
        <v>2</v>
      </c>
      <c r="AP125" s="45">
        <f t="shared" si="289"/>
        <v>2</v>
      </c>
      <c r="AQ125" s="45">
        <f t="shared" si="289"/>
        <v>2</v>
      </c>
      <c r="AR125" s="45">
        <f t="shared" si="289"/>
        <v>2</v>
      </c>
      <c r="AS125" s="45">
        <f t="shared" si="289"/>
        <v>2</v>
      </c>
      <c r="AT125" s="45">
        <f t="shared" si="289"/>
        <v>2</v>
      </c>
      <c r="AU125" s="45">
        <f t="shared" si="289"/>
        <v>2</v>
      </c>
      <c r="AV125" s="45">
        <f t="shared" si="289"/>
        <v>2</v>
      </c>
      <c r="AW125" s="45">
        <f t="shared" si="289"/>
        <v>2</v>
      </c>
      <c r="AX125" s="45">
        <f t="shared" si="289"/>
        <v>2</v>
      </c>
      <c r="AZ125" s="23">
        <f>($G$125/12)*O125</f>
        <v>0</v>
      </c>
      <c r="BA125" s="23">
        <f aca="true" t="shared" si="290" ref="BA125:BK125">($G$125/12)*P125</f>
        <v>0</v>
      </c>
      <c r="BB125" s="23">
        <f t="shared" si="290"/>
        <v>0</v>
      </c>
      <c r="BC125" s="23">
        <f t="shared" si="290"/>
        <v>0</v>
      </c>
      <c r="BD125" s="23">
        <f t="shared" si="290"/>
        <v>0</v>
      </c>
      <c r="BE125" s="23">
        <f t="shared" si="290"/>
        <v>0</v>
      </c>
      <c r="BF125" s="23">
        <f t="shared" si="290"/>
        <v>0</v>
      </c>
      <c r="BG125" s="23">
        <f t="shared" si="290"/>
        <v>0</v>
      </c>
      <c r="BH125" s="23">
        <f t="shared" si="290"/>
        <v>0</v>
      </c>
      <c r="BI125" s="23">
        <f t="shared" si="290"/>
        <v>0</v>
      </c>
      <c r="BJ125" s="23">
        <f t="shared" si="290"/>
        <v>0</v>
      </c>
      <c r="BK125" s="23">
        <f t="shared" si="290"/>
        <v>0</v>
      </c>
      <c r="BL125" s="23">
        <f>($H$125/12)*AA125</f>
        <v>2975</v>
      </c>
      <c r="BM125" s="23">
        <f aca="true" t="shared" si="291" ref="BM125:BW125">($H$125/12)*AB125</f>
        <v>2975</v>
      </c>
      <c r="BN125" s="23">
        <f t="shared" si="291"/>
        <v>2975</v>
      </c>
      <c r="BO125" s="23">
        <f t="shared" si="291"/>
        <v>2975</v>
      </c>
      <c r="BP125" s="23">
        <f t="shared" si="291"/>
        <v>2975</v>
      </c>
      <c r="BQ125" s="23">
        <f t="shared" si="291"/>
        <v>2975</v>
      </c>
      <c r="BR125" s="23">
        <f t="shared" si="291"/>
        <v>2975</v>
      </c>
      <c r="BS125" s="23">
        <f t="shared" si="291"/>
        <v>2975</v>
      </c>
      <c r="BT125" s="23">
        <f t="shared" si="291"/>
        <v>2975</v>
      </c>
      <c r="BU125" s="23">
        <f t="shared" si="291"/>
        <v>2975</v>
      </c>
      <c r="BV125" s="23">
        <f t="shared" si="291"/>
        <v>2975</v>
      </c>
      <c r="BW125" s="23">
        <f t="shared" si="291"/>
        <v>2975</v>
      </c>
      <c r="BX125" s="23">
        <f>($I$125/12)*AM125</f>
        <v>6069</v>
      </c>
      <c r="BY125" s="23">
        <f aca="true" t="shared" si="292" ref="BY125:CI125">($I$125/12)*AN125</f>
        <v>6069</v>
      </c>
      <c r="BZ125" s="23">
        <f t="shared" si="292"/>
        <v>6069</v>
      </c>
      <c r="CA125" s="23">
        <f t="shared" si="292"/>
        <v>6069</v>
      </c>
      <c r="CB125" s="23">
        <f t="shared" si="292"/>
        <v>6069</v>
      </c>
      <c r="CC125" s="23">
        <f t="shared" si="292"/>
        <v>6069</v>
      </c>
      <c r="CD125" s="23">
        <f t="shared" si="292"/>
        <v>6069</v>
      </c>
      <c r="CE125" s="23">
        <f t="shared" si="292"/>
        <v>6069</v>
      </c>
      <c r="CF125" s="23">
        <f t="shared" si="292"/>
        <v>6069</v>
      </c>
      <c r="CG125" s="23">
        <f t="shared" si="292"/>
        <v>6069</v>
      </c>
      <c r="CH125" s="23">
        <f t="shared" si="292"/>
        <v>6069</v>
      </c>
      <c r="CI125" s="112">
        <f t="shared" si="292"/>
        <v>6069</v>
      </c>
    </row>
    <row r="126" spans="1:114" s="240" customFormat="1" ht="12.75" customHeight="1">
      <c r="A126" s="241" t="s">
        <v>316</v>
      </c>
      <c r="B126" s="241">
        <f>SUM(B117:B125)</f>
        <v>0</v>
      </c>
      <c r="C126" s="240">
        <f>SUM(C117:C125)</f>
        <v>10.900000000000002</v>
      </c>
      <c r="D126" s="240">
        <f>SUM(D117:D125)</f>
        <v>25.800000000000004</v>
      </c>
      <c r="E126" s="247"/>
      <c r="F126" s="242"/>
      <c r="G126" s="243"/>
      <c r="H126" s="243"/>
      <c r="I126" s="243"/>
      <c r="J126" s="247"/>
      <c r="K126" s="244">
        <f>SUM(K117:K125)</f>
        <v>0</v>
      </c>
      <c r="L126" s="245">
        <f>SUM(L117:L125)</f>
        <v>714816</v>
      </c>
      <c r="M126" s="245">
        <f>SUM(M117:M125)</f>
        <v>1670466.24</v>
      </c>
      <c r="N126" s="247"/>
      <c r="O126" s="240">
        <f aca="true" t="shared" si="293" ref="O126:AX126">SUM(O117:O125)</f>
        <v>0</v>
      </c>
      <c r="P126" s="240">
        <f t="shared" si="293"/>
        <v>0</v>
      </c>
      <c r="Q126" s="240">
        <f t="shared" si="293"/>
        <v>0</v>
      </c>
      <c r="R126" s="240">
        <f t="shared" si="293"/>
        <v>0</v>
      </c>
      <c r="S126" s="240">
        <f t="shared" si="293"/>
        <v>0</v>
      </c>
      <c r="T126" s="240">
        <f t="shared" si="293"/>
        <v>0</v>
      </c>
      <c r="U126" s="240">
        <f t="shared" si="293"/>
        <v>0</v>
      </c>
      <c r="V126" s="240">
        <f t="shared" si="293"/>
        <v>0</v>
      </c>
      <c r="W126" s="240">
        <f t="shared" si="293"/>
        <v>0</v>
      </c>
      <c r="X126" s="240">
        <f t="shared" si="293"/>
        <v>0</v>
      </c>
      <c r="Y126" s="240">
        <f t="shared" si="293"/>
        <v>0</v>
      </c>
      <c r="Z126" s="240">
        <f t="shared" si="293"/>
        <v>0</v>
      </c>
      <c r="AA126" s="240">
        <f t="shared" si="293"/>
        <v>10.900000000000002</v>
      </c>
      <c r="AB126" s="240">
        <f t="shared" si="293"/>
        <v>10.900000000000002</v>
      </c>
      <c r="AC126" s="240">
        <f t="shared" si="293"/>
        <v>10.900000000000002</v>
      </c>
      <c r="AD126" s="240">
        <f t="shared" si="293"/>
        <v>10.900000000000002</v>
      </c>
      <c r="AE126" s="240">
        <f t="shared" si="293"/>
        <v>10.900000000000002</v>
      </c>
      <c r="AF126" s="240">
        <f t="shared" si="293"/>
        <v>10.900000000000002</v>
      </c>
      <c r="AG126" s="240">
        <f t="shared" si="293"/>
        <v>10.900000000000002</v>
      </c>
      <c r="AH126" s="240">
        <f t="shared" si="293"/>
        <v>10.900000000000002</v>
      </c>
      <c r="AI126" s="240">
        <f t="shared" si="293"/>
        <v>10.900000000000002</v>
      </c>
      <c r="AJ126" s="240">
        <f t="shared" si="293"/>
        <v>10.900000000000002</v>
      </c>
      <c r="AK126" s="240">
        <f t="shared" si="293"/>
        <v>10.900000000000002</v>
      </c>
      <c r="AL126" s="240">
        <f t="shared" si="293"/>
        <v>10.900000000000002</v>
      </c>
      <c r="AM126" s="240">
        <f t="shared" si="293"/>
        <v>25.800000000000004</v>
      </c>
      <c r="AN126" s="240">
        <f t="shared" si="293"/>
        <v>25.800000000000004</v>
      </c>
      <c r="AO126" s="240">
        <f t="shared" si="293"/>
        <v>25.800000000000004</v>
      </c>
      <c r="AP126" s="240">
        <f t="shared" si="293"/>
        <v>25.800000000000004</v>
      </c>
      <c r="AQ126" s="240">
        <f t="shared" si="293"/>
        <v>25.800000000000004</v>
      </c>
      <c r="AR126" s="240">
        <f t="shared" si="293"/>
        <v>25.800000000000004</v>
      </c>
      <c r="AS126" s="240">
        <f t="shared" si="293"/>
        <v>25.800000000000004</v>
      </c>
      <c r="AT126" s="240">
        <f t="shared" si="293"/>
        <v>25.800000000000004</v>
      </c>
      <c r="AU126" s="240">
        <f t="shared" si="293"/>
        <v>25.800000000000004</v>
      </c>
      <c r="AV126" s="240">
        <f t="shared" si="293"/>
        <v>25.800000000000004</v>
      </c>
      <c r="AW126" s="240">
        <f t="shared" si="293"/>
        <v>25.800000000000004</v>
      </c>
      <c r="AX126" s="240">
        <f t="shared" si="293"/>
        <v>25.800000000000004</v>
      </c>
      <c r="AZ126" s="243">
        <f aca="true" t="shared" si="294" ref="AZ126:CI126">SUM(AZ117:AZ125)</f>
        <v>0</v>
      </c>
      <c r="BA126" s="243">
        <f t="shared" si="294"/>
        <v>0</v>
      </c>
      <c r="BB126" s="243">
        <f t="shared" si="294"/>
        <v>0</v>
      </c>
      <c r="BC126" s="243">
        <f t="shared" si="294"/>
        <v>0</v>
      </c>
      <c r="BD126" s="243">
        <f t="shared" si="294"/>
        <v>0</v>
      </c>
      <c r="BE126" s="243">
        <f t="shared" si="294"/>
        <v>0</v>
      </c>
      <c r="BF126" s="243">
        <f t="shared" si="294"/>
        <v>0</v>
      </c>
      <c r="BG126" s="243">
        <f t="shared" si="294"/>
        <v>0</v>
      </c>
      <c r="BH126" s="243">
        <f t="shared" si="294"/>
        <v>0</v>
      </c>
      <c r="BI126" s="243">
        <f t="shared" si="294"/>
        <v>0</v>
      </c>
      <c r="BJ126" s="243">
        <f t="shared" si="294"/>
        <v>0</v>
      </c>
      <c r="BK126" s="243">
        <f t="shared" si="294"/>
        <v>0</v>
      </c>
      <c r="BL126" s="243">
        <f t="shared" si="294"/>
        <v>59568</v>
      </c>
      <c r="BM126" s="243">
        <f t="shared" si="294"/>
        <v>59568</v>
      </c>
      <c r="BN126" s="243">
        <f t="shared" si="294"/>
        <v>59568</v>
      </c>
      <c r="BO126" s="243">
        <f t="shared" si="294"/>
        <v>59568</v>
      </c>
      <c r="BP126" s="243">
        <f t="shared" si="294"/>
        <v>59568</v>
      </c>
      <c r="BQ126" s="243">
        <f t="shared" si="294"/>
        <v>59568</v>
      </c>
      <c r="BR126" s="243">
        <f t="shared" si="294"/>
        <v>59568</v>
      </c>
      <c r="BS126" s="243">
        <f t="shared" si="294"/>
        <v>59568</v>
      </c>
      <c r="BT126" s="243">
        <f t="shared" si="294"/>
        <v>59568</v>
      </c>
      <c r="BU126" s="243">
        <f t="shared" si="294"/>
        <v>59568</v>
      </c>
      <c r="BV126" s="243">
        <f t="shared" si="294"/>
        <v>59568</v>
      </c>
      <c r="BW126" s="243">
        <f t="shared" si="294"/>
        <v>59568</v>
      </c>
      <c r="BX126" s="243">
        <f t="shared" si="294"/>
        <v>139205.52</v>
      </c>
      <c r="BY126" s="243">
        <f t="shared" si="294"/>
        <v>139205.52</v>
      </c>
      <c r="BZ126" s="243">
        <f t="shared" si="294"/>
        <v>139205.52</v>
      </c>
      <c r="CA126" s="243">
        <f t="shared" si="294"/>
        <v>139205.52</v>
      </c>
      <c r="CB126" s="243">
        <f t="shared" si="294"/>
        <v>139205.52</v>
      </c>
      <c r="CC126" s="243">
        <f t="shared" si="294"/>
        <v>139205.52</v>
      </c>
      <c r="CD126" s="243">
        <f t="shared" si="294"/>
        <v>139205.52</v>
      </c>
      <c r="CE126" s="243">
        <f t="shared" si="294"/>
        <v>139205.52</v>
      </c>
      <c r="CF126" s="243">
        <f t="shared" si="294"/>
        <v>139205.52</v>
      </c>
      <c r="CG126" s="243">
        <f t="shared" si="294"/>
        <v>139205.52</v>
      </c>
      <c r="CH126" s="243">
        <f t="shared" si="294"/>
        <v>139205.52</v>
      </c>
      <c r="CI126" s="272">
        <f t="shared" si="294"/>
        <v>139205.52</v>
      </c>
      <c r="CJ126" s="243"/>
      <c r="CK126" s="243"/>
      <c r="CL126" s="243"/>
      <c r="CM126" s="243"/>
      <c r="CN126" s="243"/>
      <c r="CO126" s="243"/>
      <c r="CP126" s="243"/>
      <c r="CQ126" s="243"/>
      <c r="CR126" s="243"/>
      <c r="CS126" s="243"/>
      <c r="CT126" s="243"/>
      <c r="CU126" s="243"/>
      <c r="CV126" s="243"/>
      <c r="CW126" s="243"/>
      <c r="CX126" s="243"/>
      <c r="CY126" s="243"/>
      <c r="CZ126" s="243"/>
      <c r="DA126" s="243"/>
      <c r="DB126" s="243"/>
      <c r="DC126" s="243"/>
      <c r="DD126" s="243"/>
      <c r="DE126" s="243"/>
      <c r="DF126" s="243"/>
      <c r="DG126" s="243"/>
      <c r="DH126" s="243"/>
      <c r="DI126" s="243"/>
      <c r="DJ126" s="243"/>
    </row>
    <row r="127" spans="1:87" ht="12.75">
      <c r="A127" s="32" t="s">
        <v>196</v>
      </c>
      <c r="B127" s="32"/>
      <c r="C127" s="26"/>
      <c r="D127" s="26"/>
      <c r="E127" s="246"/>
      <c r="F127" s="111"/>
      <c r="G127" s="23"/>
      <c r="H127" s="23"/>
      <c r="I127" s="23"/>
      <c r="J127" s="246"/>
      <c r="K127" s="158">
        <f>K126*B5</f>
        <v>0</v>
      </c>
      <c r="L127" s="153">
        <f>L126*C5</f>
        <v>178704</v>
      </c>
      <c r="M127" s="153">
        <f>M126*D5</f>
        <v>417616.56</v>
      </c>
      <c r="N127" s="24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3">
        <f>AZ126*$B$5</f>
        <v>0</v>
      </c>
      <c r="BA127" s="23">
        <f aca="true" t="shared" si="295" ref="BA127:BK127">BA126*$B$5</f>
        <v>0</v>
      </c>
      <c r="BB127" s="23">
        <f t="shared" si="295"/>
        <v>0</v>
      </c>
      <c r="BC127" s="23">
        <f t="shared" si="295"/>
        <v>0</v>
      </c>
      <c r="BD127" s="23">
        <f t="shared" si="295"/>
        <v>0</v>
      </c>
      <c r="BE127" s="23">
        <f t="shared" si="295"/>
        <v>0</v>
      </c>
      <c r="BF127" s="23">
        <f t="shared" si="295"/>
        <v>0</v>
      </c>
      <c r="BG127" s="23">
        <f t="shared" si="295"/>
        <v>0</v>
      </c>
      <c r="BH127" s="23">
        <f t="shared" si="295"/>
        <v>0</v>
      </c>
      <c r="BI127" s="23">
        <f t="shared" si="295"/>
        <v>0</v>
      </c>
      <c r="BJ127" s="23">
        <f t="shared" si="295"/>
        <v>0</v>
      </c>
      <c r="BK127" s="23">
        <f t="shared" si="295"/>
        <v>0</v>
      </c>
      <c r="BL127" s="23">
        <f>BL126*$C$5</f>
        <v>14892</v>
      </c>
      <c r="BM127" s="23">
        <f aca="true" t="shared" si="296" ref="BM127:BW127">BM126*$C$5</f>
        <v>14892</v>
      </c>
      <c r="BN127" s="23">
        <f t="shared" si="296"/>
        <v>14892</v>
      </c>
      <c r="BO127" s="23">
        <f t="shared" si="296"/>
        <v>14892</v>
      </c>
      <c r="BP127" s="23">
        <f t="shared" si="296"/>
        <v>14892</v>
      </c>
      <c r="BQ127" s="23">
        <f t="shared" si="296"/>
        <v>14892</v>
      </c>
      <c r="BR127" s="23">
        <f t="shared" si="296"/>
        <v>14892</v>
      </c>
      <c r="BS127" s="23">
        <f t="shared" si="296"/>
        <v>14892</v>
      </c>
      <c r="BT127" s="23">
        <f t="shared" si="296"/>
        <v>14892</v>
      </c>
      <c r="BU127" s="23">
        <f t="shared" si="296"/>
        <v>14892</v>
      </c>
      <c r="BV127" s="23">
        <f t="shared" si="296"/>
        <v>14892</v>
      </c>
      <c r="BW127" s="23">
        <f t="shared" si="296"/>
        <v>14892</v>
      </c>
      <c r="BX127" s="23">
        <f>BX126*$D$5</f>
        <v>34801.38</v>
      </c>
      <c r="BY127" s="23">
        <f aca="true" t="shared" si="297" ref="BY127:CI127">BY126*$D$5</f>
        <v>34801.38</v>
      </c>
      <c r="BZ127" s="23">
        <f t="shared" si="297"/>
        <v>34801.38</v>
      </c>
      <c r="CA127" s="23">
        <f t="shared" si="297"/>
        <v>34801.38</v>
      </c>
      <c r="CB127" s="23">
        <f t="shared" si="297"/>
        <v>34801.38</v>
      </c>
      <c r="CC127" s="23">
        <f t="shared" si="297"/>
        <v>34801.38</v>
      </c>
      <c r="CD127" s="23">
        <f t="shared" si="297"/>
        <v>34801.38</v>
      </c>
      <c r="CE127" s="23">
        <f t="shared" si="297"/>
        <v>34801.38</v>
      </c>
      <c r="CF127" s="23">
        <f t="shared" si="297"/>
        <v>34801.38</v>
      </c>
      <c r="CG127" s="23">
        <f t="shared" si="297"/>
        <v>34801.38</v>
      </c>
      <c r="CH127" s="23">
        <f t="shared" si="297"/>
        <v>34801.38</v>
      </c>
      <c r="CI127" s="112">
        <f t="shared" si="297"/>
        <v>34801.38</v>
      </c>
    </row>
    <row r="128" spans="1:87" ht="13.5" thickBot="1">
      <c r="A128" s="273" t="s">
        <v>341</v>
      </c>
      <c r="B128" s="159"/>
      <c r="C128" s="138"/>
      <c r="D128" s="138"/>
      <c r="E128" s="256"/>
      <c r="F128" s="125"/>
      <c r="G128" s="126"/>
      <c r="H128" s="126"/>
      <c r="I128" s="126"/>
      <c r="J128" s="256"/>
      <c r="K128" s="257">
        <f>K126+K127</f>
        <v>0</v>
      </c>
      <c r="L128" s="258">
        <f>L126+L127</f>
        <v>893520</v>
      </c>
      <c r="M128" s="258">
        <f>M126+M127</f>
        <v>2088082.8</v>
      </c>
      <c r="N128" s="256"/>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26">
        <f aca="true" t="shared" si="298" ref="AZ128:CI128">AZ126+AZ127</f>
        <v>0</v>
      </c>
      <c r="BA128" s="126">
        <f t="shared" si="298"/>
        <v>0</v>
      </c>
      <c r="BB128" s="126">
        <f t="shared" si="298"/>
        <v>0</v>
      </c>
      <c r="BC128" s="126">
        <f t="shared" si="298"/>
        <v>0</v>
      </c>
      <c r="BD128" s="126">
        <f t="shared" si="298"/>
        <v>0</v>
      </c>
      <c r="BE128" s="126">
        <f t="shared" si="298"/>
        <v>0</v>
      </c>
      <c r="BF128" s="126">
        <f t="shared" si="298"/>
        <v>0</v>
      </c>
      <c r="BG128" s="126">
        <f t="shared" si="298"/>
        <v>0</v>
      </c>
      <c r="BH128" s="126">
        <f t="shared" si="298"/>
        <v>0</v>
      </c>
      <c r="BI128" s="126">
        <f t="shared" si="298"/>
        <v>0</v>
      </c>
      <c r="BJ128" s="126">
        <f t="shared" si="298"/>
        <v>0</v>
      </c>
      <c r="BK128" s="126">
        <f t="shared" si="298"/>
        <v>0</v>
      </c>
      <c r="BL128" s="126">
        <f t="shared" si="298"/>
        <v>74460</v>
      </c>
      <c r="BM128" s="126">
        <f t="shared" si="298"/>
        <v>74460</v>
      </c>
      <c r="BN128" s="126">
        <f t="shared" si="298"/>
        <v>74460</v>
      </c>
      <c r="BO128" s="126">
        <f t="shared" si="298"/>
        <v>74460</v>
      </c>
      <c r="BP128" s="126">
        <f t="shared" si="298"/>
        <v>74460</v>
      </c>
      <c r="BQ128" s="126">
        <f t="shared" si="298"/>
        <v>74460</v>
      </c>
      <c r="BR128" s="126">
        <f t="shared" si="298"/>
        <v>74460</v>
      </c>
      <c r="BS128" s="126">
        <f t="shared" si="298"/>
        <v>74460</v>
      </c>
      <c r="BT128" s="126">
        <f t="shared" si="298"/>
        <v>74460</v>
      </c>
      <c r="BU128" s="126">
        <f t="shared" si="298"/>
        <v>74460</v>
      </c>
      <c r="BV128" s="126">
        <f t="shared" si="298"/>
        <v>74460</v>
      </c>
      <c r="BW128" s="126">
        <f t="shared" si="298"/>
        <v>74460</v>
      </c>
      <c r="BX128" s="126">
        <f t="shared" si="298"/>
        <v>174006.9</v>
      </c>
      <c r="BY128" s="126">
        <f t="shared" si="298"/>
        <v>174006.9</v>
      </c>
      <c r="BZ128" s="126">
        <f t="shared" si="298"/>
        <v>174006.9</v>
      </c>
      <c r="CA128" s="126">
        <f t="shared" si="298"/>
        <v>174006.9</v>
      </c>
      <c r="CB128" s="126">
        <f t="shared" si="298"/>
        <v>174006.9</v>
      </c>
      <c r="CC128" s="126">
        <f t="shared" si="298"/>
        <v>174006.9</v>
      </c>
      <c r="CD128" s="126">
        <f t="shared" si="298"/>
        <v>174006.9</v>
      </c>
      <c r="CE128" s="126">
        <f t="shared" si="298"/>
        <v>174006.9</v>
      </c>
      <c r="CF128" s="126">
        <f t="shared" si="298"/>
        <v>174006.9</v>
      </c>
      <c r="CG128" s="126">
        <f t="shared" si="298"/>
        <v>174006.9</v>
      </c>
      <c r="CH128" s="126">
        <f t="shared" si="298"/>
        <v>174006.9</v>
      </c>
      <c r="CI128" s="127">
        <f t="shared" si="298"/>
        <v>174006.9</v>
      </c>
    </row>
    <row r="129" spans="6:87" s="45" customFormat="1" ht="12.75" customHeight="1">
      <c r="F129" s="183"/>
      <c r="G129" s="183"/>
      <c r="H129" s="183"/>
      <c r="I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c r="CE129" s="183"/>
      <c r="CF129" s="183"/>
      <c r="CG129" s="183"/>
      <c r="CH129" s="183"/>
      <c r="CI129" s="183"/>
    </row>
    <row r="130" s="45" customFormat="1" ht="12.75" customHeight="1"/>
    <row r="131" ht="12.75" customHeight="1" thickBot="1"/>
    <row r="132" spans="1:87" ht="12.75">
      <c r="A132" s="270" t="s">
        <v>395</v>
      </c>
      <c r="B132" s="208" t="s">
        <v>333</v>
      </c>
      <c r="C132" s="209"/>
      <c r="D132" s="209"/>
      <c r="E132" s="254"/>
      <c r="F132" s="208" t="s">
        <v>269</v>
      </c>
      <c r="G132" s="209"/>
      <c r="H132" s="209"/>
      <c r="I132" s="209"/>
      <c r="J132" s="254"/>
      <c r="K132" s="208" t="s">
        <v>154</v>
      </c>
      <c r="L132" s="209"/>
      <c r="M132" s="209"/>
      <c r="N132" s="254"/>
      <c r="O132" s="54" t="s">
        <v>319</v>
      </c>
      <c r="P132" s="54"/>
      <c r="Q132" s="54"/>
      <c r="R132" s="54"/>
      <c r="S132" s="54"/>
      <c r="T132" s="54"/>
      <c r="U132" s="54"/>
      <c r="V132" s="54"/>
      <c r="W132" s="54"/>
      <c r="X132" s="54"/>
      <c r="Y132" s="54"/>
      <c r="Z132" s="54"/>
      <c r="AA132" s="54" t="s">
        <v>320</v>
      </c>
      <c r="AB132" s="54"/>
      <c r="AC132" s="54"/>
      <c r="AD132" s="54"/>
      <c r="AE132" s="54"/>
      <c r="AF132" s="54"/>
      <c r="AG132" s="54"/>
      <c r="AH132" s="54"/>
      <c r="AI132" s="54"/>
      <c r="AJ132" s="54"/>
      <c r="AK132" s="54"/>
      <c r="AL132" s="54"/>
      <c r="AM132" s="54" t="s">
        <v>321</v>
      </c>
      <c r="AN132" s="54"/>
      <c r="AO132" s="54"/>
      <c r="AP132" s="54"/>
      <c r="AQ132" s="54"/>
      <c r="AR132" s="54"/>
      <c r="AS132" s="54"/>
      <c r="AT132" s="54"/>
      <c r="AU132" s="54"/>
      <c r="AV132" s="54"/>
      <c r="AW132" s="54"/>
      <c r="AX132" s="54"/>
      <c r="AY132" s="209"/>
      <c r="AZ132" s="255" t="s">
        <v>319</v>
      </c>
      <c r="BA132" s="209"/>
      <c r="BB132" s="209"/>
      <c r="BC132" s="209"/>
      <c r="BD132" s="54"/>
      <c r="BE132" s="54"/>
      <c r="BF132" s="54"/>
      <c r="BG132" s="54"/>
      <c r="BH132" s="54"/>
      <c r="BI132" s="54"/>
      <c r="BJ132" s="54"/>
      <c r="BK132" s="54"/>
      <c r="BL132" s="255" t="s">
        <v>320</v>
      </c>
      <c r="BM132" s="209"/>
      <c r="BN132" s="209"/>
      <c r="BO132" s="209"/>
      <c r="BP132" s="54"/>
      <c r="BQ132" s="54"/>
      <c r="BR132" s="54"/>
      <c r="BS132" s="54"/>
      <c r="BT132" s="54"/>
      <c r="BU132" s="54"/>
      <c r="BV132" s="54"/>
      <c r="BW132" s="54"/>
      <c r="BX132" s="255" t="s">
        <v>321</v>
      </c>
      <c r="BY132" s="209"/>
      <c r="BZ132" s="209"/>
      <c r="CA132" s="209"/>
      <c r="CB132" s="54"/>
      <c r="CC132" s="54"/>
      <c r="CD132" s="54"/>
      <c r="CE132" s="54"/>
      <c r="CF132" s="54"/>
      <c r="CG132" s="54"/>
      <c r="CH132" s="54"/>
      <c r="CI132" s="39"/>
    </row>
    <row r="133" spans="1:87" ht="12.75">
      <c r="A133" s="32"/>
      <c r="B133" s="32" t="s">
        <v>319</v>
      </c>
      <c r="C133" s="26" t="s">
        <v>320</v>
      </c>
      <c r="D133" s="26" t="s">
        <v>321</v>
      </c>
      <c r="E133" s="246"/>
      <c r="F133" s="210" t="s">
        <v>250</v>
      </c>
      <c r="G133" s="55" t="s">
        <v>319</v>
      </c>
      <c r="H133" s="55" t="s">
        <v>320</v>
      </c>
      <c r="I133" s="55" t="s">
        <v>321</v>
      </c>
      <c r="J133" s="246"/>
      <c r="K133" s="32" t="s">
        <v>319</v>
      </c>
      <c r="L133" s="26" t="s">
        <v>320</v>
      </c>
      <c r="M133" s="26" t="s">
        <v>321</v>
      </c>
      <c r="N133" s="246"/>
      <c r="O133" s="41" t="s">
        <v>323</v>
      </c>
      <c r="P133" s="41" t="s">
        <v>324</v>
      </c>
      <c r="Q133" s="41" t="s">
        <v>325</v>
      </c>
      <c r="R133" s="41" t="s">
        <v>326</v>
      </c>
      <c r="S133" s="41" t="s">
        <v>130</v>
      </c>
      <c r="T133" s="41" t="s">
        <v>131</v>
      </c>
      <c r="U133" s="41" t="s">
        <v>132</v>
      </c>
      <c r="V133" s="41" t="s">
        <v>133</v>
      </c>
      <c r="W133" s="41" t="s">
        <v>134</v>
      </c>
      <c r="X133" s="41" t="s">
        <v>135</v>
      </c>
      <c r="Y133" s="41" t="s">
        <v>136</v>
      </c>
      <c r="Z133" s="41" t="s">
        <v>137</v>
      </c>
      <c r="AA133" s="41" t="s">
        <v>323</v>
      </c>
      <c r="AB133" s="41" t="s">
        <v>324</v>
      </c>
      <c r="AC133" s="41" t="s">
        <v>325</v>
      </c>
      <c r="AD133" s="41" t="s">
        <v>326</v>
      </c>
      <c r="AE133" s="41" t="s">
        <v>130</v>
      </c>
      <c r="AF133" s="41" t="s">
        <v>131</v>
      </c>
      <c r="AG133" s="41" t="s">
        <v>132</v>
      </c>
      <c r="AH133" s="41" t="s">
        <v>133</v>
      </c>
      <c r="AI133" s="41" t="s">
        <v>134</v>
      </c>
      <c r="AJ133" s="41" t="s">
        <v>135</v>
      </c>
      <c r="AK133" s="41" t="s">
        <v>136</v>
      </c>
      <c r="AL133" s="41" t="s">
        <v>137</v>
      </c>
      <c r="AM133" s="43" t="s">
        <v>323</v>
      </c>
      <c r="AN133" s="43" t="s">
        <v>324</v>
      </c>
      <c r="AO133" s="43" t="s">
        <v>325</v>
      </c>
      <c r="AP133" s="43" t="s">
        <v>326</v>
      </c>
      <c r="AQ133" s="43" t="s">
        <v>130</v>
      </c>
      <c r="AR133" s="43" t="s">
        <v>131</v>
      </c>
      <c r="AS133" s="43" t="s">
        <v>132</v>
      </c>
      <c r="AT133" s="43" t="s">
        <v>133</v>
      </c>
      <c r="AU133" s="43" t="s">
        <v>134</v>
      </c>
      <c r="AV133" s="43" t="s">
        <v>135</v>
      </c>
      <c r="AW133" s="43" t="s">
        <v>136</v>
      </c>
      <c r="AX133" s="43" t="s">
        <v>137</v>
      </c>
      <c r="AY133" s="26"/>
      <c r="AZ133" s="41" t="s">
        <v>323</v>
      </c>
      <c r="BA133" s="41" t="s">
        <v>324</v>
      </c>
      <c r="BB133" s="41" t="s">
        <v>325</v>
      </c>
      <c r="BC133" s="41" t="s">
        <v>326</v>
      </c>
      <c r="BD133" s="41" t="s">
        <v>130</v>
      </c>
      <c r="BE133" s="41" t="s">
        <v>131</v>
      </c>
      <c r="BF133" s="41" t="s">
        <v>132</v>
      </c>
      <c r="BG133" s="41" t="s">
        <v>133</v>
      </c>
      <c r="BH133" s="41" t="s">
        <v>134</v>
      </c>
      <c r="BI133" s="41" t="s">
        <v>135</v>
      </c>
      <c r="BJ133" s="41" t="s">
        <v>136</v>
      </c>
      <c r="BK133" s="41" t="s">
        <v>137</v>
      </c>
      <c r="BL133" s="41" t="s">
        <v>323</v>
      </c>
      <c r="BM133" s="41" t="s">
        <v>324</v>
      </c>
      <c r="BN133" s="41" t="s">
        <v>325</v>
      </c>
      <c r="BO133" s="41" t="s">
        <v>326</v>
      </c>
      <c r="BP133" s="41" t="s">
        <v>130</v>
      </c>
      <c r="BQ133" s="41" t="s">
        <v>131</v>
      </c>
      <c r="BR133" s="41" t="s">
        <v>132</v>
      </c>
      <c r="BS133" s="41" t="s">
        <v>133</v>
      </c>
      <c r="BT133" s="41" t="s">
        <v>134</v>
      </c>
      <c r="BU133" s="41" t="s">
        <v>135</v>
      </c>
      <c r="BV133" s="41" t="s">
        <v>136</v>
      </c>
      <c r="BW133" s="41" t="s">
        <v>137</v>
      </c>
      <c r="BX133" s="43" t="s">
        <v>323</v>
      </c>
      <c r="BY133" s="43" t="s">
        <v>324</v>
      </c>
      <c r="BZ133" s="43" t="s">
        <v>325</v>
      </c>
      <c r="CA133" s="43" t="s">
        <v>326</v>
      </c>
      <c r="CB133" s="43" t="s">
        <v>130</v>
      </c>
      <c r="CC133" s="43" t="s">
        <v>131</v>
      </c>
      <c r="CD133" s="43" t="s">
        <v>132</v>
      </c>
      <c r="CE133" s="43" t="s">
        <v>133</v>
      </c>
      <c r="CF133" s="43" t="s">
        <v>134</v>
      </c>
      <c r="CG133" s="43" t="s">
        <v>135</v>
      </c>
      <c r="CH133" s="43" t="s">
        <v>136</v>
      </c>
      <c r="CI133" s="106" t="s">
        <v>137</v>
      </c>
    </row>
    <row r="134" spans="1:87" ht="12.75">
      <c r="A134" s="271" t="s">
        <v>396</v>
      </c>
      <c r="B134" s="32"/>
      <c r="C134" s="26"/>
      <c r="D134" s="26"/>
      <c r="E134" s="246"/>
      <c r="F134" s="111"/>
      <c r="G134" s="23"/>
      <c r="H134" s="23"/>
      <c r="I134" s="23"/>
      <c r="J134" s="246"/>
      <c r="K134" s="32"/>
      <c r="L134" s="26"/>
      <c r="M134" s="26"/>
      <c r="N134" s="24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112"/>
    </row>
    <row r="135" spans="1:87" ht="12.75">
      <c r="A135" s="32" t="s">
        <v>387</v>
      </c>
      <c r="B135" s="234">
        <v>1</v>
      </c>
      <c r="C135" s="235">
        <v>2</v>
      </c>
      <c r="D135" s="235">
        <v>3</v>
      </c>
      <c r="E135" s="246"/>
      <c r="F135" s="212">
        <f>F109</f>
        <v>40000</v>
      </c>
      <c r="G135" s="23">
        <f>F135</f>
        <v>40000</v>
      </c>
      <c r="H135" s="23">
        <f>G135*(1+C4)</f>
        <v>40800</v>
      </c>
      <c r="I135" s="23">
        <f>H135*(1+D4)</f>
        <v>41616</v>
      </c>
      <c r="J135" s="246"/>
      <c r="K135" s="158">
        <f>SUM(AZ135:BK135)</f>
        <v>40000</v>
      </c>
      <c r="L135" s="153">
        <f>SUM(BL135:BW135)</f>
        <v>81600</v>
      </c>
      <c r="M135" s="153">
        <f>SUM(BX135:CI135)</f>
        <v>124848</v>
      </c>
      <c r="N135" s="246"/>
      <c r="O135" s="26">
        <f>$B$135</f>
        <v>1</v>
      </c>
      <c r="P135" s="26">
        <f aca="true" t="shared" si="299" ref="P135:Z135">$B$135</f>
        <v>1</v>
      </c>
      <c r="Q135" s="26">
        <f t="shared" si="299"/>
        <v>1</v>
      </c>
      <c r="R135" s="26">
        <f t="shared" si="299"/>
        <v>1</v>
      </c>
      <c r="S135" s="26">
        <f t="shared" si="299"/>
        <v>1</v>
      </c>
      <c r="T135" s="26">
        <f t="shared" si="299"/>
        <v>1</v>
      </c>
      <c r="U135" s="26">
        <f t="shared" si="299"/>
        <v>1</v>
      </c>
      <c r="V135" s="26">
        <f t="shared" si="299"/>
        <v>1</v>
      </c>
      <c r="W135" s="26">
        <f t="shared" si="299"/>
        <v>1</v>
      </c>
      <c r="X135" s="26">
        <f t="shared" si="299"/>
        <v>1</v>
      </c>
      <c r="Y135" s="26">
        <f t="shared" si="299"/>
        <v>1</v>
      </c>
      <c r="Z135" s="26">
        <f t="shared" si="299"/>
        <v>1</v>
      </c>
      <c r="AA135" s="26">
        <f>$C$135</f>
        <v>2</v>
      </c>
      <c r="AB135" s="26">
        <f aca="true" t="shared" si="300" ref="AB135:AL135">$C$135</f>
        <v>2</v>
      </c>
      <c r="AC135" s="26">
        <f t="shared" si="300"/>
        <v>2</v>
      </c>
      <c r="AD135" s="26">
        <f t="shared" si="300"/>
        <v>2</v>
      </c>
      <c r="AE135" s="26">
        <f t="shared" si="300"/>
        <v>2</v>
      </c>
      <c r="AF135" s="26">
        <f t="shared" si="300"/>
        <v>2</v>
      </c>
      <c r="AG135" s="26">
        <f t="shared" si="300"/>
        <v>2</v>
      </c>
      <c r="AH135" s="26">
        <f t="shared" si="300"/>
        <v>2</v>
      </c>
      <c r="AI135" s="26">
        <f t="shared" si="300"/>
        <v>2</v>
      </c>
      <c r="AJ135" s="26">
        <f t="shared" si="300"/>
        <v>2</v>
      </c>
      <c r="AK135" s="26">
        <f t="shared" si="300"/>
        <v>2</v>
      </c>
      <c r="AL135" s="26">
        <f t="shared" si="300"/>
        <v>2</v>
      </c>
      <c r="AM135" s="26">
        <f>$D$135</f>
        <v>3</v>
      </c>
      <c r="AN135" s="26">
        <f aca="true" t="shared" si="301" ref="AN135:AX135">$D$135</f>
        <v>3</v>
      </c>
      <c r="AO135" s="26">
        <f t="shared" si="301"/>
        <v>3</v>
      </c>
      <c r="AP135" s="26">
        <f t="shared" si="301"/>
        <v>3</v>
      </c>
      <c r="AQ135" s="26">
        <f t="shared" si="301"/>
        <v>3</v>
      </c>
      <c r="AR135" s="26">
        <f t="shared" si="301"/>
        <v>3</v>
      </c>
      <c r="AS135" s="26">
        <f t="shared" si="301"/>
        <v>3</v>
      </c>
      <c r="AT135" s="26">
        <f t="shared" si="301"/>
        <v>3</v>
      </c>
      <c r="AU135" s="26">
        <f t="shared" si="301"/>
        <v>3</v>
      </c>
      <c r="AV135" s="26">
        <f t="shared" si="301"/>
        <v>3</v>
      </c>
      <c r="AW135" s="26">
        <f t="shared" si="301"/>
        <v>3</v>
      </c>
      <c r="AX135" s="26">
        <f t="shared" si="301"/>
        <v>3</v>
      </c>
      <c r="AY135" s="26"/>
      <c r="AZ135" s="23">
        <f>($G$135/12)*O135</f>
        <v>3333.3333333333335</v>
      </c>
      <c r="BA135" s="23">
        <f aca="true" t="shared" si="302" ref="BA135:BK135">($G$135/12)*P135</f>
        <v>3333.3333333333335</v>
      </c>
      <c r="BB135" s="23">
        <f t="shared" si="302"/>
        <v>3333.3333333333335</v>
      </c>
      <c r="BC135" s="23">
        <f t="shared" si="302"/>
        <v>3333.3333333333335</v>
      </c>
      <c r="BD135" s="23">
        <f t="shared" si="302"/>
        <v>3333.3333333333335</v>
      </c>
      <c r="BE135" s="23">
        <f t="shared" si="302"/>
        <v>3333.3333333333335</v>
      </c>
      <c r="BF135" s="23">
        <f t="shared" si="302"/>
        <v>3333.3333333333335</v>
      </c>
      <c r="BG135" s="23">
        <f t="shared" si="302"/>
        <v>3333.3333333333335</v>
      </c>
      <c r="BH135" s="23">
        <f t="shared" si="302"/>
        <v>3333.3333333333335</v>
      </c>
      <c r="BI135" s="23">
        <f t="shared" si="302"/>
        <v>3333.3333333333335</v>
      </c>
      <c r="BJ135" s="23">
        <f t="shared" si="302"/>
        <v>3333.3333333333335</v>
      </c>
      <c r="BK135" s="23">
        <f t="shared" si="302"/>
        <v>3333.3333333333335</v>
      </c>
      <c r="BL135" s="23">
        <f>($H$135/12)*AA135</f>
        <v>6800</v>
      </c>
      <c r="BM135" s="23">
        <f aca="true" t="shared" si="303" ref="BM135:BW135">($H$135/12)*AB135</f>
        <v>6800</v>
      </c>
      <c r="BN135" s="23">
        <f t="shared" si="303"/>
        <v>6800</v>
      </c>
      <c r="BO135" s="23">
        <f t="shared" si="303"/>
        <v>6800</v>
      </c>
      <c r="BP135" s="23">
        <f t="shared" si="303"/>
        <v>6800</v>
      </c>
      <c r="BQ135" s="23">
        <f t="shared" si="303"/>
        <v>6800</v>
      </c>
      <c r="BR135" s="23">
        <f t="shared" si="303"/>
        <v>6800</v>
      </c>
      <c r="BS135" s="23">
        <f t="shared" si="303"/>
        <v>6800</v>
      </c>
      <c r="BT135" s="23">
        <f t="shared" si="303"/>
        <v>6800</v>
      </c>
      <c r="BU135" s="23">
        <f t="shared" si="303"/>
        <v>6800</v>
      </c>
      <c r="BV135" s="23">
        <f t="shared" si="303"/>
        <v>6800</v>
      </c>
      <c r="BW135" s="23">
        <f t="shared" si="303"/>
        <v>6800</v>
      </c>
      <c r="BX135" s="23">
        <f>($I$135/12)*AM135</f>
        <v>10404</v>
      </c>
      <c r="BY135" s="23">
        <f aca="true" t="shared" si="304" ref="BY135:CI135">($I$135/12)*AN135</f>
        <v>10404</v>
      </c>
      <c r="BZ135" s="23">
        <f t="shared" si="304"/>
        <v>10404</v>
      </c>
      <c r="CA135" s="23">
        <f t="shared" si="304"/>
        <v>10404</v>
      </c>
      <c r="CB135" s="23">
        <f t="shared" si="304"/>
        <v>10404</v>
      </c>
      <c r="CC135" s="23">
        <f t="shared" si="304"/>
        <v>10404</v>
      </c>
      <c r="CD135" s="23">
        <f t="shared" si="304"/>
        <v>10404</v>
      </c>
      <c r="CE135" s="23">
        <f t="shared" si="304"/>
        <v>10404</v>
      </c>
      <c r="CF135" s="23">
        <f t="shared" si="304"/>
        <v>10404</v>
      </c>
      <c r="CG135" s="23">
        <f t="shared" si="304"/>
        <v>10404</v>
      </c>
      <c r="CH135" s="23">
        <f t="shared" si="304"/>
        <v>10404</v>
      </c>
      <c r="CI135" s="112">
        <f t="shared" si="304"/>
        <v>10404</v>
      </c>
    </row>
    <row r="136" spans="1:114" s="26" customFormat="1" ht="12.75" customHeight="1">
      <c r="A136" s="32" t="s">
        <v>388</v>
      </c>
      <c r="B136" s="234">
        <v>0.3</v>
      </c>
      <c r="C136" s="235">
        <v>0.6</v>
      </c>
      <c r="D136" s="235">
        <v>1</v>
      </c>
      <c r="E136" s="246"/>
      <c r="F136" s="212">
        <f>F110</f>
        <v>35000</v>
      </c>
      <c r="G136" s="23">
        <f>F136</f>
        <v>35000</v>
      </c>
      <c r="H136" s="23">
        <f>G136*(1+C4)</f>
        <v>35700</v>
      </c>
      <c r="I136" s="23">
        <f>H136*(1+D4)</f>
        <v>36414</v>
      </c>
      <c r="J136" s="246"/>
      <c r="K136" s="158">
        <f>SUM(AZ136:BK136)</f>
        <v>10499.999999999998</v>
      </c>
      <c r="L136" s="153">
        <f>SUM(BL136:BW136)</f>
        <v>21420</v>
      </c>
      <c r="M136" s="153">
        <f>SUM(BX136:CI136)</f>
        <v>36414</v>
      </c>
      <c r="N136" s="246"/>
      <c r="O136" s="26">
        <f>$B$136</f>
        <v>0.3</v>
      </c>
      <c r="P136" s="26">
        <f aca="true" t="shared" si="305" ref="P136:Z136">$B$136</f>
        <v>0.3</v>
      </c>
      <c r="Q136" s="26">
        <f t="shared" si="305"/>
        <v>0.3</v>
      </c>
      <c r="R136" s="26">
        <f t="shared" si="305"/>
        <v>0.3</v>
      </c>
      <c r="S136" s="26">
        <f t="shared" si="305"/>
        <v>0.3</v>
      </c>
      <c r="T136" s="26">
        <f t="shared" si="305"/>
        <v>0.3</v>
      </c>
      <c r="U136" s="26">
        <f t="shared" si="305"/>
        <v>0.3</v>
      </c>
      <c r="V136" s="26">
        <f t="shared" si="305"/>
        <v>0.3</v>
      </c>
      <c r="W136" s="26">
        <f t="shared" si="305"/>
        <v>0.3</v>
      </c>
      <c r="X136" s="26">
        <f t="shared" si="305"/>
        <v>0.3</v>
      </c>
      <c r="Y136" s="26">
        <f t="shared" si="305"/>
        <v>0.3</v>
      </c>
      <c r="Z136" s="26">
        <f t="shared" si="305"/>
        <v>0.3</v>
      </c>
      <c r="AA136" s="26">
        <f>$C$136</f>
        <v>0.6</v>
      </c>
      <c r="AB136" s="26">
        <f aca="true" t="shared" si="306" ref="AB136:AL136">$C$136</f>
        <v>0.6</v>
      </c>
      <c r="AC136" s="26">
        <f t="shared" si="306"/>
        <v>0.6</v>
      </c>
      <c r="AD136" s="26">
        <f t="shared" si="306"/>
        <v>0.6</v>
      </c>
      <c r="AE136" s="26">
        <f t="shared" si="306"/>
        <v>0.6</v>
      </c>
      <c r="AF136" s="26">
        <f t="shared" si="306"/>
        <v>0.6</v>
      </c>
      <c r="AG136" s="26">
        <f t="shared" si="306"/>
        <v>0.6</v>
      </c>
      <c r="AH136" s="26">
        <f t="shared" si="306"/>
        <v>0.6</v>
      </c>
      <c r="AI136" s="26">
        <f t="shared" si="306"/>
        <v>0.6</v>
      </c>
      <c r="AJ136" s="26">
        <f t="shared" si="306"/>
        <v>0.6</v>
      </c>
      <c r="AK136" s="26">
        <f t="shared" si="306"/>
        <v>0.6</v>
      </c>
      <c r="AL136" s="26">
        <f t="shared" si="306"/>
        <v>0.6</v>
      </c>
      <c r="AM136" s="26">
        <f>$D$136</f>
        <v>1</v>
      </c>
      <c r="AN136" s="26">
        <f aca="true" t="shared" si="307" ref="AN136:AX137">$D$136</f>
        <v>1</v>
      </c>
      <c r="AO136" s="26">
        <f t="shared" si="307"/>
        <v>1</v>
      </c>
      <c r="AP136" s="26">
        <f t="shared" si="307"/>
        <v>1</v>
      </c>
      <c r="AQ136" s="26">
        <f t="shared" si="307"/>
        <v>1</v>
      </c>
      <c r="AR136" s="26">
        <f t="shared" si="307"/>
        <v>1</v>
      </c>
      <c r="AS136" s="26">
        <f t="shared" si="307"/>
        <v>1</v>
      </c>
      <c r="AT136" s="26">
        <f t="shared" si="307"/>
        <v>1</v>
      </c>
      <c r="AU136" s="26">
        <f t="shared" si="307"/>
        <v>1</v>
      </c>
      <c r="AV136" s="26">
        <f t="shared" si="307"/>
        <v>1</v>
      </c>
      <c r="AW136" s="26">
        <f t="shared" si="307"/>
        <v>1</v>
      </c>
      <c r="AX136" s="26">
        <f t="shared" si="307"/>
        <v>1</v>
      </c>
      <c r="AZ136" s="23">
        <f>($G$136/12)*O136</f>
        <v>874.9999999999999</v>
      </c>
      <c r="BA136" s="23">
        <f aca="true" t="shared" si="308" ref="BA136:BK136">($G$136/12)*P136</f>
        <v>874.9999999999999</v>
      </c>
      <c r="BB136" s="23">
        <f t="shared" si="308"/>
        <v>874.9999999999999</v>
      </c>
      <c r="BC136" s="23">
        <f t="shared" si="308"/>
        <v>874.9999999999999</v>
      </c>
      <c r="BD136" s="23">
        <f t="shared" si="308"/>
        <v>874.9999999999999</v>
      </c>
      <c r="BE136" s="23">
        <f t="shared" si="308"/>
        <v>874.9999999999999</v>
      </c>
      <c r="BF136" s="23">
        <f t="shared" si="308"/>
        <v>874.9999999999999</v>
      </c>
      <c r="BG136" s="23">
        <f t="shared" si="308"/>
        <v>874.9999999999999</v>
      </c>
      <c r="BH136" s="23">
        <f t="shared" si="308"/>
        <v>874.9999999999999</v>
      </c>
      <c r="BI136" s="23">
        <f t="shared" si="308"/>
        <v>874.9999999999999</v>
      </c>
      <c r="BJ136" s="23">
        <f t="shared" si="308"/>
        <v>874.9999999999999</v>
      </c>
      <c r="BK136" s="23">
        <f t="shared" si="308"/>
        <v>874.9999999999999</v>
      </c>
      <c r="BL136" s="23">
        <f>($H$136/12)*AA136</f>
        <v>1785</v>
      </c>
      <c r="BM136" s="23">
        <f aca="true" t="shared" si="309" ref="BM136:BW136">($H$136/12)*AB136</f>
        <v>1785</v>
      </c>
      <c r="BN136" s="23">
        <f t="shared" si="309"/>
        <v>1785</v>
      </c>
      <c r="BO136" s="23">
        <f t="shared" si="309"/>
        <v>1785</v>
      </c>
      <c r="BP136" s="23">
        <f t="shared" si="309"/>
        <v>1785</v>
      </c>
      <c r="BQ136" s="23">
        <f t="shared" si="309"/>
        <v>1785</v>
      </c>
      <c r="BR136" s="23">
        <f t="shared" si="309"/>
        <v>1785</v>
      </c>
      <c r="BS136" s="23">
        <f t="shared" si="309"/>
        <v>1785</v>
      </c>
      <c r="BT136" s="23">
        <f t="shared" si="309"/>
        <v>1785</v>
      </c>
      <c r="BU136" s="23">
        <f t="shared" si="309"/>
        <v>1785</v>
      </c>
      <c r="BV136" s="23">
        <f t="shared" si="309"/>
        <v>1785</v>
      </c>
      <c r="BW136" s="23">
        <f t="shared" si="309"/>
        <v>1785</v>
      </c>
      <c r="BX136" s="23">
        <f>($I$136/12)*AM136</f>
        <v>3034.5</v>
      </c>
      <c r="BY136" s="23">
        <f aca="true" t="shared" si="310" ref="BY136:CI136">($I$136/12)*AN136</f>
        <v>3034.5</v>
      </c>
      <c r="BZ136" s="23">
        <f t="shared" si="310"/>
        <v>3034.5</v>
      </c>
      <c r="CA136" s="23">
        <f t="shared" si="310"/>
        <v>3034.5</v>
      </c>
      <c r="CB136" s="23">
        <f t="shared" si="310"/>
        <v>3034.5</v>
      </c>
      <c r="CC136" s="23">
        <f t="shared" si="310"/>
        <v>3034.5</v>
      </c>
      <c r="CD136" s="23">
        <f t="shared" si="310"/>
        <v>3034.5</v>
      </c>
      <c r="CE136" s="23">
        <f t="shared" si="310"/>
        <v>3034.5</v>
      </c>
      <c r="CF136" s="23">
        <f t="shared" si="310"/>
        <v>3034.5</v>
      </c>
      <c r="CG136" s="23">
        <f t="shared" si="310"/>
        <v>3034.5</v>
      </c>
      <c r="CH136" s="23">
        <f t="shared" si="310"/>
        <v>3034.5</v>
      </c>
      <c r="CI136" s="112">
        <f t="shared" si="310"/>
        <v>3034.5</v>
      </c>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row>
    <row r="137" spans="1:114" s="26" customFormat="1" ht="12.75" customHeight="1">
      <c r="A137" s="211" t="s">
        <v>397</v>
      </c>
      <c r="B137" s="234">
        <v>0.3</v>
      </c>
      <c r="C137" s="235">
        <v>0.3</v>
      </c>
      <c r="D137" s="235">
        <v>0.3</v>
      </c>
      <c r="E137" s="246"/>
      <c r="F137" s="212">
        <f>F97</f>
        <v>40000</v>
      </c>
      <c r="G137" s="23">
        <f>F137</f>
        <v>40000</v>
      </c>
      <c r="H137" s="23">
        <f>G137*(1+C4)</f>
        <v>40800</v>
      </c>
      <c r="I137" s="23">
        <f>H137*(1+D4)</f>
        <v>41616</v>
      </c>
      <c r="J137" s="246"/>
      <c r="K137" s="158">
        <f>SUM(AZ137:BK137)</f>
        <v>12000</v>
      </c>
      <c r="L137" s="153">
        <f>SUM(BL137:BW137)</f>
        <v>12240</v>
      </c>
      <c r="M137" s="153">
        <f>SUM(BX137:CI137)</f>
        <v>41616</v>
      </c>
      <c r="N137" s="246"/>
      <c r="O137" s="26">
        <f>$B$137</f>
        <v>0.3</v>
      </c>
      <c r="P137" s="26">
        <f aca="true" t="shared" si="311" ref="P137:Z137">$B$137</f>
        <v>0.3</v>
      </c>
      <c r="Q137" s="26">
        <f t="shared" si="311"/>
        <v>0.3</v>
      </c>
      <c r="R137" s="26">
        <f t="shared" si="311"/>
        <v>0.3</v>
      </c>
      <c r="S137" s="26">
        <f t="shared" si="311"/>
        <v>0.3</v>
      </c>
      <c r="T137" s="26">
        <f t="shared" si="311"/>
        <v>0.3</v>
      </c>
      <c r="U137" s="26">
        <f t="shared" si="311"/>
        <v>0.3</v>
      </c>
      <c r="V137" s="26">
        <f t="shared" si="311"/>
        <v>0.3</v>
      </c>
      <c r="W137" s="26">
        <f t="shared" si="311"/>
        <v>0.3</v>
      </c>
      <c r="X137" s="26">
        <f t="shared" si="311"/>
        <v>0.3</v>
      </c>
      <c r="Y137" s="26">
        <f t="shared" si="311"/>
        <v>0.3</v>
      </c>
      <c r="Z137" s="26">
        <f t="shared" si="311"/>
        <v>0.3</v>
      </c>
      <c r="AA137" s="26">
        <f>$C$137</f>
        <v>0.3</v>
      </c>
      <c r="AB137" s="26">
        <f aca="true" t="shared" si="312" ref="AB137:AL137">$C$137</f>
        <v>0.3</v>
      </c>
      <c r="AC137" s="26">
        <f t="shared" si="312"/>
        <v>0.3</v>
      </c>
      <c r="AD137" s="26">
        <f t="shared" si="312"/>
        <v>0.3</v>
      </c>
      <c r="AE137" s="26">
        <f t="shared" si="312"/>
        <v>0.3</v>
      </c>
      <c r="AF137" s="26">
        <f t="shared" si="312"/>
        <v>0.3</v>
      </c>
      <c r="AG137" s="26">
        <f t="shared" si="312"/>
        <v>0.3</v>
      </c>
      <c r="AH137" s="26">
        <f t="shared" si="312"/>
        <v>0.3</v>
      </c>
      <c r="AI137" s="26">
        <f t="shared" si="312"/>
        <v>0.3</v>
      </c>
      <c r="AJ137" s="26">
        <f t="shared" si="312"/>
        <v>0.3</v>
      </c>
      <c r="AK137" s="26">
        <f t="shared" si="312"/>
        <v>0.3</v>
      </c>
      <c r="AL137" s="26">
        <f t="shared" si="312"/>
        <v>0.3</v>
      </c>
      <c r="AM137" s="26">
        <f>$D$136</f>
        <v>1</v>
      </c>
      <c r="AN137" s="26">
        <f t="shared" si="307"/>
        <v>1</v>
      </c>
      <c r="AO137" s="26">
        <f t="shared" si="307"/>
        <v>1</v>
      </c>
      <c r="AP137" s="26">
        <f t="shared" si="307"/>
        <v>1</v>
      </c>
      <c r="AQ137" s="26">
        <f t="shared" si="307"/>
        <v>1</v>
      </c>
      <c r="AR137" s="26">
        <f t="shared" si="307"/>
        <v>1</v>
      </c>
      <c r="AS137" s="26">
        <f t="shared" si="307"/>
        <v>1</v>
      </c>
      <c r="AT137" s="26">
        <f t="shared" si="307"/>
        <v>1</v>
      </c>
      <c r="AU137" s="26">
        <f t="shared" si="307"/>
        <v>1</v>
      </c>
      <c r="AV137" s="26">
        <f t="shared" si="307"/>
        <v>1</v>
      </c>
      <c r="AW137" s="26">
        <f t="shared" si="307"/>
        <v>1</v>
      </c>
      <c r="AX137" s="26">
        <f t="shared" si="307"/>
        <v>1</v>
      </c>
      <c r="AZ137" s="23">
        <f>($G$137/12)*O137</f>
        <v>1000</v>
      </c>
      <c r="BA137" s="23">
        <f aca="true" t="shared" si="313" ref="BA137:BK137">($G$137/12)*P137</f>
        <v>1000</v>
      </c>
      <c r="BB137" s="23">
        <f t="shared" si="313"/>
        <v>1000</v>
      </c>
      <c r="BC137" s="23">
        <f t="shared" si="313"/>
        <v>1000</v>
      </c>
      <c r="BD137" s="23">
        <f t="shared" si="313"/>
        <v>1000</v>
      </c>
      <c r="BE137" s="23">
        <f t="shared" si="313"/>
        <v>1000</v>
      </c>
      <c r="BF137" s="23">
        <f t="shared" si="313"/>
        <v>1000</v>
      </c>
      <c r="BG137" s="23">
        <f t="shared" si="313"/>
        <v>1000</v>
      </c>
      <c r="BH137" s="23">
        <f t="shared" si="313"/>
        <v>1000</v>
      </c>
      <c r="BI137" s="23">
        <f t="shared" si="313"/>
        <v>1000</v>
      </c>
      <c r="BJ137" s="23">
        <f t="shared" si="313"/>
        <v>1000</v>
      </c>
      <c r="BK137" s="23">
        <f t="shared" si="313"/>
        <v>1000</v>
      </c>
      <c r="BL137" s="23">
        <f>($H$137/12)*AA137</f>
        <v>1020</v>
      </c>
      <c r="BM137" s="23">
        <f aca="true" t="shared" si="314" ref="BM137:BW137">($H$137/12)*AB137</f>
        <v>1020</v>
      </c>
      <c r="BN137" s="23">
        <f t="shared" si="314"/>
        <v>1020</v>
      </c>
      <c r="BO137" s="23">
        <f t="shared" si="314"/>
        <v>1020</v>
      </c>
      <c r="BP137" s="23">
        <f t="shared" si="314"/>
        <v>1020</v>
      </c>
      <c r="BQ137" s="23">
        <f t="shared" si="314"/>
        <v>1020</v>
      </c>
      <c r="BR137" s="23">
        <f t="shared" si="314"/>
        <v>1020</v>
      </c>
      <c r="BS137" s="23">
        <f t="shared" si="314"/>
        <v>1020</v>
      </c>
      <c r="BT137" s="23">
        <f t="shared" si="314"/>
        <v>1020</v>
      </c>
      <c r="BU137" s="23">
        <f t="shared" si="314"/>
        <v>1020</v>
      </c>
      <c r="BV137" s="23">
        <f t="shared" si="314"/>
        <v>1020</v>
      </c>
      <c r="BW137" s="23">
        <f t="shared" si="314"/>
        <v>1020</v>
      </c>
      <c r="BX137" s="23">
        <f>($I$137/12)*AM137</f>
        <v>3468</v>
      </c>
      <c r="BY137" s="23">
        <f aca="true" t="shared" si="315" ref="BY137:CI137">($I$137/12)*AN137</f>
        <v>3468</v>
      </c>
      <c r="BZ137" s="23">
        <f t="shared" si="315"/>
        <v>3468</v>
      </c>
      <c r="CA137" s="23">
        <f t="shared" si="315"/>
        <v>3468</v>
      </c>
      <c r="CB137" s="23">
        <f t="shared" si="315"/>
        <v>3468</v>
      </c>
      <c r="CC137" s="23">
        <f t="shared" si="315"/>
        <v>3468</v>
      </c>
      <c r="CD137" s="23">
        <f t="shared" si="315"/>
        <v>3468</v>
      </c>
      <c r="CE137" s="23">
        <f t="shared" si="315"/>
        <v>3468</v>
      </c>
      <c r="CF137" s="23">
        <f t="shared" si="315"/>
        <v>3468</v>
      </c>
      <c r="CG137" s="23">
        <f t="shared" si="315"/>
        <v>3468</v>
      </c>
      <c r="CH137" s="23">
        <f t="shared" si="315"/>
        <v>3468</v>
      </c>
      <c r="CI137" s="112">
        <f t="shared" si="315"/>
        <v>3468</v>
      </c>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row>
    <row r="138" spans="1:114" s="240" customFormat="1" ht="12.75" customHeight="1">
      <c r="A138" s="241" t="s">
        <v>318</v>
      </c>
      <c r="B138" s="241">
        <f>SUM(B135:B137)</f>
        <v>1.6</v>
      </c>
      <c r="C138" s="240">
        <f>SUM(C135:C137)</f>
        <v>2.9</v>
      </c>
      <c r="D138" s="240">
        <f>SUM(D135:D137)</f>
        <v>4.3</v>
      </c>
      <c r="E138" s="247"/>
      <c r="F138" s="242"/>
      <c r="G138" s="243"/>
      <c r="H138" s="243"/>
      <c r="I138" s="243"/>
      <c r="J138" s="247"/>
      <c r="K138" s="244">
        <f>SUM(K135:K136)</f>
        <v>50500</v>
      </c>
      <c r="L138" s="245">
        <f>SUM(L135:L136)</f>
        <v>103020</v>
      </c>
      <c r="M138" s="245">
        <f>SUM(M135:M136)</f>
        <v>161262</v>
      </c>
      <c r="N138" s="247"/>
      <c r="O138" s="240">
        <f aca="true" t="shared" si="316" ref="O138:AX138">SUM(O135:O136)</f>
        <v>1.3</v>
      </c>
      <c r="P138" s="240">
        <f t="shared" si="316"/>
        <v>1.3</v>
      </c>
      <c r="Q138" s="240">
        <f t="shared" si="316"/>
        <v>1.3</v>
      </c>
      <c r="R138" s="240">
        <f t="shared" si="316"/>
        <v>1.3</v>
      </c>
      <c r="S138" s="240">
        <f t="shared" si="316"/>
        <v>1.3</v>
      </c>
      <c r="T138" s="240">
        <f t="shared" si="316"/>
        <v>1.3</v>
      </c>
      <c r="U138" s="240">
        <f t="shared" si="316"/>
        <v>1.3</v>
      </c>
      <c r="V138" s="240">
        <f t="shared" si="316"/>
        <v>1.3</v>
      </c>
      <c r="W138" s="240">
        <f t="shared" si="316"/>
        <v>1.3</v>
      </c>
      <c r="X138" s="240">
        <f t="shared" si="316"/>
        <v>1.3</v>
      </c>
      <c r="Y138" s="240">
        <f t="shared" si="316"/>
        <v>1.3</v>
      </c>
      <c r="Z138" s="240">
        <f t="shared" si="316"/>
        <v>1.3</v>
      </c>
      <c r="AA138" s="240">
        <f t="shared" si="316"/>
        <v>2.6</v>
      </c>
      <c r="AB138" s="240">
        <f t="shared" si="316"/>
        <v>2.6</v>
      </c>
      <c r="AC138" s="240">
        <f t="shared" si="316"/>
        <v>2.6</v>
      </c>
      <c r="AD138" s="240">
        <f t="shared" si="316"/>
        <v>2.6</v>
      </c>
      <c r="AE138" s="240">
        <f t="shared" si="316"/>
        <v>2.6</v>
      </c>
      <c r="AF138" s="240">
        <f t="shared" si="316"/>
        <v>2.6</v>
      </c>
      <c r="AG138" s="240">
        <f t="shared" si="316"/>
        <v>2.6</v>
      </c>
      <c r="AH138" s="240">
        <f t="shared" si="316"/>
        <v>2.6</v>
      </c>
      <c r="AI138" s="240">
        <f t="shared" si="316"/>
        <v>2.6</v>
      </c>
      <c r="AJ138" s="240">
        <f t="shared" si="316"/>
        <v>2.6</v>
      </c>
      <c r="AK138" s="240">
        <f t="shared" si="316"/>
        <v>2.6</v>
      </c>
      <c r="AL138" s="240">
        <f t="shared" si="316"/>
        <v>2.6</v>
      </c>
      <c r="AM138" s="240">
        <f t="shared" si="316"/>
        <v>4</v>
      </c>
      <c r="AN138" s="240">
        <f t="shared" si="316"/>
        <v>4</v>
      </c>
      <c r="AO138" s="240">
        <f t="shared" si="316"/>
        <v>4</v>
      </c>
      <c r="AP138" s="240">
        <f t="shared" si="316"/>
        <v>4</v>
      </c>
      <c r="AQ138" s="240">
        <f t="shared" si="316"/>
        <v>4</v>
      </c>
      <c r="AR138" s="240">
        <f t="shared" si="316"/>
        <v>4</v>
      </c>
      <c r="AS138" s="240">
        <f t="shared" si="316"/>
        <v>4</v>
      </c>
      <c r="AT138" s="240">
        <f t="shared" si="316"/>
        <v>4</v>
      </c>
      <c r="AU138" s="240">
        <f t="shared" si="316"/>
        <v>4</v>
      </c>
      <c r="AV138" s="240">
        <f t="shared" si="316"/>
        <v>4</v>
      </c>
      <c r="AW138" s="240">
        <f t="shared" si="316"/>
        <v>4</v>
      </c>
      <c r="AX138" s="240">
        <f t="shared" si="316"/>
        <v>4</v>
      </c>
      <c r="AZ138" s="243">
        <f aca="true" t="shared" si="317" ref="AZ138:CI138">SUM(AZ135:AZ136)</f>
        <v>4208.333333333333</v>
      </c>
      <c r="BA138" s="243">
        <f t="shared" si="317"/>
        <v>4208.333333333333</v>
      </c>
      <c r="BB138" s="243">
        <f t="shared" si="317"/>
        <v>4208.333333333333</v>
      </c>
      <c r="BC138" s="243">
        <f t="shared" si="317"/>
        <v>4208.333333333333</v>
      </c>
      <c r="BD138" s="243">
        <f t="shared" si="317"/>
        <v>4208.333333333333</v>
      </c>
      <c r="BE138" s="243">
        <f t="shared" si="317"/>
        <v>4208.333333333333</v>
      </c>
      <c r="BF138" s="243">
        <f t="shared" si="317"/>
        <v>4208.333333333333</v>
      </c>
      <c r="BG138" s="243">
        <f t="shared" si="317"/>
        <v>4208.333333333333</v>
      </c>
      <c r="BH138" s="243">
        <f t="shared" si="317"/>
        <v>4208.333333333333</v>
      </c>
      <c r="BI138" s="243">
        <f t="shared" si="317"/>
        <v>4208.333333333333</v>
      </c>
      <c r="BJ138" s="243">
        <f t="shared" si="317"/>
        <v>4208.333333333333</v>
      </c>
      <c r="BK138" s="243">
        <f t="shared" si="317"/>
        <v>4208.333333333333</v>
      </c>
      <c r="BL138" s="243">
        <f t="shared" si="317"/>
        <v>8585</v>
      </c>
      <c r="BM138" s="243">
        <f t="shared" si="317"/>
        <v>8585</v>
      </c>
      <c r="BN138" s="243">
        <f t="shared" si="317"/>
        <v>8585</v>
      </c>
      <c r="BO138" s="243">
        <f t="shared" si="317"/>
        <v>8585</v>
      </c>
      <c r="BP138" s="243">
        <f t="shared" si="317"/>
        <v>8585</v>
      </c>
      <c r="BQ138" s="243">
        <f t="shared" si="317"/>
        <v>8585</v>
      </c>
      <c r="BR138" s="243">
        <f t="shared" si="317"/>
        <v>8585</v>
      </c>
      <c r="BS138" s="243">
        <f t="shared" si="317"/>
        <v>8585</v>
      </c>
      <c r="BT138" s="243">
        <f t="shared" si="317"/>
        <v>8585</v>
      </c>
      <c r="BU138" s="243">
        <f t="shared" si="317"/>
        <v>8585</v>
      </c>
      <c r="BV138" s="243">
        <f t="shared" si="317"/>
        <v>8585</v>
      </c>
      <c r="BW138" s="243">
        <f t="shared" si="317"/>
        <v>8585</v>
      </c>
      <c r="BX138" s="243">
        <f t="shared" si="317"/>
        <v>13438.5</v>
      </c>
      <c r="BY138" s="243">
        <f t="shared" si="317"/>
        <v>13438.5</v>
      </c>
      <c r="BZ138" s="243">
        <f t="shared" si="317"/>
        <v>13438.5</v>
      </c>
      <c r="CA138" s="243">
        <f t="shared" si="317"/>
        <v>13438.5</v>
      </c>
      <c r="CB138" s="243">
        <f t="shared" si="317"/>
        <v>13438.5</v>
      </c>
      <c r="CC138" s="243">
        <f t="shared" si="317"/>
        <v>13438.5</v>
      </c>
      <c r="CD138" s="243">
        <f t="shared" si="317"/>
        <v>13438.5</v>
      </c>
      <c r="CE138" s="243">
        <f t="shared" si="317"/>
        <v>13438.5</v>
      </c>
      <c r="CF138" s="243">
        <f t="shared" si="317"/>
        <v>13438.5</v>
      </c>
      <c r="CG138" s="243">
        <f t="shared" si="317"/>
        <v>13438.5</v>
      </c>
      <c r="CH138" s="243">
        <f t="shared" si="317"/>
        <v>13438.5</v>
      </c>
      <c r="CI138" s="272">
        <f t="shared" si="317"/>
        <v>13438.5</v>
      </c>
      <c r="CJ138" s="243"/>
      <c r="CK138" s="243"/>
      <c r="CL138" s="243"/>
      <c r="CM138" s="243"/>
      <c r="CN138" s="243"/>
      <c r="CO138" s="243"/>
      <c r="CP138" s="243"/>
      <c r="CQ138" s="243"/>
      <c r="CR138" s="243"/>
      <c r="CS138" s="243"/>
      <c r="CT138" s="243"/>
      <c r="CU138" s="243"/>
      <c r="CV138" s="243"/>
      <c r="CW138" s="243"/>
      <c r="CX138" s="243"/>
      <c r="CY138" s="243"/>
      <c r="CZ138" s="243"/>
      <c r="DA138" s="243"/>
      <c r="DB138" s="243"/>
      <c r="DC138" s="243"/>
      <c r="DD138" s="243"/>
      <c r="DE138" s="243"/>
      <c r="DF138" s="243"/>
      <c r="DG138" s="243"/>
      <c r="DH138" s="243"/>
      <c r="DI138" s="243"/>
      <c r="DJ138" s="243"/>
    </row>
    <row r="139" spans="1:114" s="26" customFormat="1" ht="12.75" customHeight="1">
      <c r="A139" s="211" t="s">
        <v>196</v>
      </c>
      <c r="B139" s="32"/>
      <c r="E139" s="246"/>
      <c r="F139" s="111"/>
      <c r="G139" s="23"/>
      <c r="H139" s="23"/>
      <c r="I139" s="23"/>
      <c r="J139" s="246"/>
      <c r="K139" s="158">
        <f>K138*B5</f>
        <v>12625</v>
      </c>
      <c r="L139" s="153">
        <f>L138*C5</f>
        <v>25755</v>
      </c>
      <c r="M139" s="153">
        <f>M138*D5</f>
        <v>40315.5</v>
      </c>
      <c r="N139" s="246"/>
      <c r="AZ139" s="23">
        <f>AZ138*$B$5</f>
        <v>1052.0833333333333</v>
      </c>
      <c r="BA139" s="23">
        <f aca="true" t="shared" si="318" ref="BA139:BK139">BA138*$B$5</f>
        <v>1052.0833333333333</v>
      </c>
      <c r="BB139" s="23">
        <f t="shared" si="318"/>
        <v>1052.0833333333333</v>
      </c>
      <c r="BC139" s="23">
        <f t="shared" si="318"/>
        <v>1052.0833333333333</v>
      </c>
      <c r="BD139" s="23">
        <f t="shared" si="318"/>
        <v>1052.0833333333333</v>
      </c>
      <c r="BE139" s="23">
        <f t="shared" si="318"/>
        <v>1052.0833333333333</v>
      </c>
      <c r="BF139" s="23">
        <f t="shared" si="318"/>
        <v>1052.0833333333333</v>
      </c>
      <c r="BG139" s="23">
        <f t="shared" si="318"/>
        <v>1052.0833333333333</v>
      </c>
      <c r="BH139" s="23">
        <f t="shared" si="318"/>
        <v>1052.0833333333333</v>
      </c>
      <c r="BI139" s="23">
        <f t="shared" si="318"/>
        <v>1052.0833333333333</v>
      </c>
      <c r="BJ139" s="23">
        <f t="shared" si="318"/>
        <v>1052.0833333333333</v>
      </c>
      <c r="BK139" s="23">
        <f t="shared" si="318"/>
        <v>1052.0833333333333</v>
      </c>
      <c r="BL139" s="23">
        <f>BL138*$C$5</f>
        <v>2146.25</v>
      </c>
      <c r="BM139" s="23">
        <f aca="true" t="shared" si="319" ref="BM139:BW139">BM138*$C$5</f>
        <v>2146.25</v>
      </c>
      <c r="BN139" s="23">
        <f t="shared" si="319"/>
        <v>2146.25</v>
      </c>
      <c r="BO139" s="23">
        <f t="shared" si="319"/>
        <v>2146.25</v>
      </c>
      <c r="BP139" s="23">
        <f t="shared" si="319"/>
        <v>2146.25</v>
      </c>
      <c r="BQ139" s="23">
        <f t="shared" si="319"/>
        <v>2146.25</v>
      </c>
      <c r="BR139" s="23">
        <f t="shared" si="319"/>
        <v>2146.25</v>
      </c>
      <c r="BS139" s="23">
        <f t="shared" si="319"/>
        <v>2146.25</v>
      </c>
      <c r="BT139" s="23">
        <f t="shared" si="319"/>
        <v>2146.25</v>
      </c>
      <c r="BU139" s="23">
        <f t="shared" si="319"/>
        <v>2146.25</v>
      </c>
      <c r="BV139" s="23">
        <f t="shared" si="319"/>
        <v>2146.25</v>
      </c>
      <c r="BW139" s="23">
        <f t="shared" si="319"/>
        <v>2146.25</v>
      </c>
      <c r="BX139" s="23">
        <f>BX138*$D$5</f>
        <v>3359.625</v>
      </c>
      <c r="BY139" s="23">
        <f aca="true" t="shared" si="320" ref="BY139:CI139">BY138*$D$5</f>
        <v>3359.625</v>
      </c>
      <c r="BZ139" s="23">
        <f t="shared" si="320"/>
        <v>3359.625</v>
      </c>
      <c r="CA139" s="23">
        <f t="shared" si="320"/>
        <v>3359.625</v>
      </c>
      <c r="CB139" s="23">
        <f t="shared" si="320"/>
        <v>3359.625</v>
      </c>
      <c r="CC139" s="23">
        <f t="shared" si="320"/>
        <v>3359.625</v>
      </c>
      <c r="CD139" s="23">
        <f t="shared" si="320"/>
        <v>3359.625</v>
      </c>
      <c r="CE139" s="23">
        <f t="shared" si="320"/>
        <v>3359.625</v>
      </c>
      <c r="CF139" s="23">
        <f t="shared" si="320"/>
        <v>3359.625</v>
      </c>
      <c r="CG139" s="23">
        <f t="shared" si="320"/>
        <v>3359.625</v>
      </c>
      <c r="CH139" s="23">
        <f t="shared" si="320"/>
        <v>3359.625</v>
      </c>
      <c r="CI139" s="112">
        <f t="shared" si="320"/>
        <v>3359.625</v>
      </c>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row>
    <row r="140" spans="1:114" s="26" customFormat="1" ht="12.75" customHeight="1">
      <c r="A140" s="211" t="s">
        <v>386</v>
      </c>
      <c r="B140" s="32"/>
      <c r="E140" s="246"/>
      <c r="F140" s="111"/>
      <c r="G140" s="23"/>
      <c r="H140" s="23"/>
      <c r="I140" s="23"/>
      <c r="J140" s="246"/>
      <c r="K140" s="158">
        <f>K138+K139</f>
        <v>63125</v>
      </c>
      <c r="L140" s="153">
        <f>L138+L139</f>
        <v>128775</v>
      </c>
      <c r="M140" s="153">
        <f>M138+M139</f>
        <v>201577.5</v>
      </c>
      <c r="N140" s="246"/>
      <c r="AZ140" s="23">
        <f>AZ138+AZ139</f>
        <v>5260.416666666666</v>
      </c>
      <c r="BA140" s="23">
        <f aca="true" t="shared" si="321" ref="BA140:CI140">BA138+BA139</f>
        <v>5260.416666666666</v>
      </c>
      <c r="BB140" s="23">
        <f t="shared" si="321"/>
        <v>5260.416666666666</v>
      </c>
      <c r="BC140" s="23">
        <f t="shared" si="321"/>
        <v>5260.416666666666</v>
      </c>
      <c r="BD140" s="23">
        <f t="shared" si="321"/>
        <v>5260.416666666666</v>
      </c>
      <c r="BE140" s="23">
        <f t="shared" si="321"/>
        <v>5260.416666666666</v>
      </c>
      <c r="BF140" s="23">
        <f t="shared" si="321"/>
        <v>5260.416666666666</v>
      </c>
      <c r="BG140" s="23">
        <f t="shared" si="321"/>
        <v>5260.416666666666</v>
      </c>
      <c r="BH140" s="23">
        <f t="shared" si="321"/>
        <v>5260.416666666666</v>
      </c>
      <c r="BI140" s="23">
        <f t="shared" si="321"/>
        <v>5260.416666666666</v>
      </c>
      <c r="BJ140" s="23">
        <f t="shared" si="321"/>
        <v>5260.416666666666</v>
      </c>
      <c r="BK140" s="23">
        <f t="shared" si="321"/>
        <v>5260.416666666666</v>
      </c>
      <c r="BL140" s="23">
        <f t="shared" si="321"/>
        <v>10731.25</v>
      </c>
      <c r="BM140" s="23">
        <f t="shared" si="321"/>
        <v>10731.25</v>
      </c>
      <c r="BN140" s="23">
        <f t="shared" si="321"/>
        <v>10731.25</v>
      </c>
      <c r="BO140" s="23">
        <f t="shared" si="321"/>
        <v>10731.25</v>
      </c>
      <c r="BP140" s="23">
        <f t="shared" si="321"/>
        <v>10731.25</v>
      </c>
      <c r="BQ140" s="23">
        <f t="shared" si="321"/>
        <v>10731.25</v>
      </c>
      <c r="BR140" s="23">
        <f t="shared" si="321"/>
        <v>10731.25</v>
      </c>
      <c r="BS140" s="23">
        <f t="shared" si="321"/>
        <v>10731.25</v>
      </c>
      <c r="BT140" s="23">
        <f t="shared" si="321"/>
        <v>10731.25</v>
      </c>
      <c r="BU140" s="23">
        <f t="shared" si="321"/>
        <v>10731.25</v>
      </c>
      <c r="BV140" s="23">
        <f t="shared" si="321"/>
        <v>10731.25</v>
      </c>
      <c r="BW140" s="23">
        <f t="shared" si="321"/>
        <v>10731.25</v>
      </c>
      <c r="BX140" s="23">
        <f t="shared" si="321"/>
        <v>16798.125</v>
      </c>
      <c r="BY140" s="23">
        <f t="shared" si="321"/>
        <v>16798.125</v>
      </c>
      <c r="BZ140" s="23">
        <f t="shared" si="321"/>
        <v>16798.125</v>
      </c>
      <c r="CA140" s="23">
        <f t="shared" si="321"/>
        <v>16798.125</v>
      </c>
      <c r="CB140" s="23">
        <f t="shared" si="321"/>
        <v>16798.125</v>
      </c>
      <c r="CC140" s="23">
        <f t="shared" si="321"/>
        <v>16798.125</v>
      </c>
      <c r="CD140" s="23">
        <f t="shared" si="321"/>
        <v>16798.125</v>
      </c>
      <c r="CE140" s="23">
        <f t="shared" si="321"/>
        <v>16798.125</v>
      </c>
      <c r="CF140" s="23">
        <f t="shared" si="321"/>
        <v>16798.125</v>
      </c>
      <c r="CG140" s="23">
        <f t="shared" si="321"/>
        <v>16798.125</v>
      </c>
      <c r="CH140" s="23">
        <f t="shared" si="321"/>
        <v>16798.125</v>
      </c>
      <c r="CI140" s="112">
        <f t="shared" si="321"/>
        <v>16798.125</v>
      </c>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row>
    <row r="141" spans="1:87" ht="12.75">
      <c r="A141" s="32"/>
      <c r="B141" s="32"/>
      <c r="C141" s="26"/>
      <c r="D141" s="26"/>
      <c r="E141" s="246"/>
      <c r="F141" s="111"/>
      <c r="G141" s="23"/>
      <c r="H141" s="23"/>
      <c r="I141" s="23"/>
      <c r="J141" s="246"/>
      <c r="K141" s="32"/>
      <c r="L141" s="26"/>
      <c r="M141" s="26"/>
      <c r="N141" s="24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112"/>
    </row>
    <row r="142" spans="1:87" ht="12.75">
      <c r="A142" s="271" t="s">
        <v>553</v>
      </c>
      <c r="B142" s="32"/>
      <c r="C142" s="26"/>
      <c r="D142" s="26"/>
      <c r="E142" s="246"/>
      <c r="F142" s="111"/>
      <c r="G142" s="23"/>
      <c r="H142" s="23"/>
      <c r="I142" s="23"/>
      <c r="J142" s="246"/>
      <c r="K142" s="32"/>
      <c r="L142" s="26"/>
      <c r="M142" s="26"/>
      <c r="N142" s="24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112"/>
    </row>
    <row r="143" spans="1:87" s="26" customFormat="1" ht="12.75" customHeight="1">
      <c r="A143" s="32" t="s">
        <v>528</v>
      </c>
      <c r="B143" s="234">
        <v>1</v>
      </c>
      <c r="C143" s="235">
        <v>1</v>
      </c>
      <c r="D143" s="235">
        <v>1</v>
      </c>
      <c r="E143" s="246"/>
      <c r="F143" s="212">
        <f>F97</f>
        <v>40000</v>
      </c>
      <c r="G143" s="23">
        <f>F143</f>
        <v>40000</v>
      </c>
      <c r="H143" s="23">
        <f>G143*(1+$C$4)</f>
        <v>40800</v>
      </c>
      <c r="I143" s="23">
        <f>H143*(1+$D$4)</f>
        <v>41616</v>
      </c>
      <c r="J143" s="246"/>
      <c r="K143" s="158">
        <f>SUM(AZ143:BK143)</f>
        <v>40000</v>
      </c>
      <c r="L143" s="153">
        <f>SUM(BL143:BW143)</f>
        <v>40800</v>
      </c>
      <c r="M143" s="153">
        <f>SUM(BX143:CI143)</f>
        <v>41616</v>
      </c>
      <c r="N143" s="246"/>
      <c r="O143" s="26">
        <f>$B$143</f>
        <v>1</v>
      </c>
      <c r="P143" s="26">
        <f aca="true" t="shared" si="322" ref="P143:Z143">$B$143</f>
        <v>1</v>
      </c>
      <c r="Q143" s="26">
        <f t="shared" si="322"/>
        <v>1</v>
      </c>
      <c r="R143" s="26">
        <f t="shared" si="322"/>
        <v>1</v>
      </c>
      <c r="S143" s="26">
        <f t="shared" si="322"/>
        <v>1</v>
      </c>
      <c r="T143" s="26">
        <f t="shared" si="322"/>
        <v>1</v>
      </c>
      <c r="U143" s="26">
        <f t="shared" si="322"/>
        <v>1</v>
      </c>
      <c r="V143" s="26">
        <f t="shared" si="322"/>
        <v>1</v>
      </c>
      <c r="W143" s="26">
        <f t="shared" si="322"/>
        <v>1</v>
      </c>
      <c r="X143" s="26">
        <f t="shared" si="322"/>
        <v>1</v>
      </c>
      <c r="Y143" s="26">
        <f t="shared" si="322"/>
        <v>1</v>
      </c>
      <c r="Z143" s="26">
        <f t="shared" si="322"/>
        <v>1</v>
      </c>
      <c r="AA143" s="26">
        <f>$C$143</f>
        <v>1</v>
      </c>
      <c r="AB143" s="26">
        <f aca="true" t="shared" si="323" ref="AB143:AL143">$C$143</f>
        <v>1</v>
      </c>
      <c r="AC143" s="26">
        <f t="shared" si="323"/>
        <v>1</v>
      </c>
      <c r="AD143" s="26">
        <f t="shared" si="323"/>
        <v>1</v>
      </c>
      <c r="AE143" s="26">
        <f t="shared" si="323"/>
        <v>1</v>
      </c>
      <c r="AF143" s="26">
        <f t="shared" si="323"/>
        <v>1</v>
      </c>
      <c r="AG143" s="26">
        <f t="shared" si="323"/>
        <v>1</v>
      </c>
      <c r="AH143" s="26">
        <f t="shared" si="323"/>
        <v>1</v>
      </c>
      <c r="AI143" s="26">
        <f t="shared" si="323"/>
        <v>1</v>
      </c>
      <c r="AJ143" s="26">
        <f t="shared" si="323"/>
        <v>1</v>
      </c>
      <c r="AK143" s="26">
        <f t="shared" si="323"/>
        <v>1</v>
      </c>
      <c r="AL143" s="26">
        <f t="shared" si="323"/>
        <v>1</v>
      </c>
      <c r="AM143" s="26">
        <f>$D$143</f>
        <v>1</v>
      </c>
      <c r="AN143" s="26">
        <f aca="true" t="shared" si="324" ref="AN143:AX143">$D$143</f>
        <v>1</v>
      </c>
      <c r="AO143" s="26">
        <f t="shared" si="324"/>
        <v>1</v>
      </c>
      <c r="AP143" s="26">
        <f t="shared" si="324"/>
        <v>1</v>
      </c>
      <c r="AQ143" s="26">
        <f t="shared" si="324"/>
        <v>1</v>
      </c>
      <c r="AR143" s="26">
        <f t="shared" si="324"/>
        <v>1</v>
      </c>
      <c r="AS143" s="26">
        <f t="shared" si="324"/>
        <v>1</v>
      </c>
      <c r="AT143" s="26">
        <f t="shared" si="324"/>
        <v>1</v>
      </c>
      <c r="AU143" s="26">
        <f t="shared" si="324"/>
        <v>1</v>
      </c>
      <c r="AV143" s="26">
        <f t="shared" si="324"/>
        <v>1</v>
      </c>
      <c r="AW143" s="26">
        <f t="shared" si="324"/>
        <v>1</v>
      </c>
      <c r="AX143" s="26">
        <f t="shared" si="324"/>
        <v>1</v>
      </c>
      <c r="AZ143" s="23">
        <f>($G$143/12)*O143</f>
        <v>3333.3333333333335</v>
      </c>
      <c r="BA143" s="23">
        <f aca="true" t="shared" si="325" ref="BA143:BK143">($G$143/12)*P143</f>
        <v>3333.3333333333335</v>
      </c>
      <c r="BB143" s="23">
        <f t="shared" si="325"/>
        <v>3333.3333333333335</v>
      </c>
      <c r="BC143" s="23">
        <f t="shared" si="325"/>
        <v>3333.3333333333335</v>
      </c>
      <c r="BD143" s="23">
        <f t="shared" si="325"/>
        <v>3333.3333333333335</v>
      </c>
      <c r="BE143" s="23">
        <f t="shared" si="325"/>
        <v>3333.3333333333335</v>
      </c>
      <c r="BF143" s="23">
        <f t="shared" si="325"/>
        <v>3333.3333333333335</v>
      </c>
      <c r="BG143" s="23">
        <f t="shared" si="325"/>
        <v>3333.3333333333335</v>
      </c>
      <c r="BH143" s="23">
        <f t="shared" si="325"/>
        <v>3333.3333333333335</v>
      </c>
      <c r="BI143" s="23">
        <f t="shared" si="325"/>
        <v>3333.3333333333335</v>
      </c>
      <c r="BJ143" s="23">
        <f t="shared" si="325"/>
        <v>3333.3333333333335</v>
      </c>
      <c r="BK143" s="23">
        <f t="shared" si="325"/>
        <v>3333.3333333333335</v>
      </c>
      <c r="BL143" s="23">
        <f>($H$143/12)*AA143</f>
        <v>3400</v>
      </c>
      <c r="BM143" s="23">
        <f aca="true" t="shared" si="326" ref="BM143:BW143">($H$143/12)*AB143</f>
        <v>3400</v>
      </c>
      <c r="BN143" s="23">
        <f t="shared" si="326"/>
        <v>3400</v>
      </c>
      <c r="BO143" s="23">
        <f t="shared" si="326"/>
        <v>3400</v>
      </c>
      <c r="BP143" s="23">
        <f t="shared" si="326"/>
        <v>3400</v>
      </c>
      <c r="BQ143" s="23">
        <f t="shared" si="326"/>
        <v>3400</v>
      </c>
      <c r="BR143" s="23">
        <f t="shared" si="326"/>
        <v>3400</v>
      </c>
      <c r="BS143" s="23">
        <f t="shared" si="326"/>
        <v>3400</v>
      </c>
      <c r="BT143" s="23">
        <f t="shared" si="326"/>
        <v>3400</v>
      </c>
      <c r="BU143" s="23">
        <f t="shared" si="326"/>
        <v>3400</v>
      </c>
      <c r="BV143" s="23">
        <f t="shared" si="326"/>
        <v>3400</v>
      </c>
      <c r="BW143" s="23">
        <f t="shared" si="326"/>
        <v>3400</v>
      </c>
      <c r="BX143" s="23">
        <f>($I$143/12)*AM143</f>
        <v>3468</v>
      </c>
      <c r="BY143" s="23">
        <f aca="true" t="shared" si="327" ref="BY143:CI143">($I$143/12)*AN143</f>
        <v>3468</v>
      </c>
      <c r="BZ143" s="23">
        <f t="shared" si="327"/>
        <v>3468</v>
      </c>
      <c r="CA143" s="23">
        <f t="shared" si="327"/>
        <v>3468</v>
      </c>
      <c r="CB143" s="23">
        <f t="shared" si="327"/>
        <v>3468</v>
      </c>
      <c r="CC143" s="23">
        <f t="shared" si="327"/>
        <v>3468</v>
      </c>
      <c r="CD143" s="23">
        <f t="shared" si="327"/>
        <v>3468</v>
      </c>
      <c r="CE143" s="23">
        <f t="shared" si="327"/>
        <v>3468</v>
      </c>
      <c r="CF143" s="23">
        <f t="shared" si="327"/>
        <v>3468</v>
      </c>
      <c r="CG143" s="23">
        <f t="shared" si="327"/>
        <v>3468</v>
      </c>
      <c r="CH143" s="23">
        <f t="shared" si="327"/>
        <v>3468</v>
      </c>
      <c r="CI143" s="112">
        <f t="shared" si="327"/>
        <v>3468</v>
      </c>
    </row>
    <row r="144" spans="1:114" s="240" customFormat="1" ht="12.75" customHeight="1">
      <c r="A144" s="241" t="s">
        <v>316</v>
      </c>
      <c r="B144" s="241">
        <f>SUM(B143:B143)</f>
        <v>1</v>
      </c>
      <c r="C144" s="240">
        <f>SUM(C143:C143)</f>
        <v>1</v>
      </c>
      <c r="D144" s="240">
        <f>SUM(D143:D143)</f>
        <v>1</v>
      </c>
      <c r="E144" s="247"/>
      <c r="F144" s="242"/>
      <c r="G144" s="243"/>
      <c r="H144" s="243"/>
      <c r="I144" s="243"/>
      <c r="J144" s="247"/>
      <c r="K144" s="244">
        <f>SUM(K143:K143)</f>
        <v>40000</v>
      </c>
      <c r="L144" s="245">
        <f>SUM(L143:L143)</f>
        <v>40800</v>
      </c>
      <c r="M144" s="245">
        <f>SUM(M143:M143)</f>
        <v>41616</v>
      </c>
      <c r="N144" s="247"/>
      <c r="O144" s="240">
        <f aca="true" t="shared" si="328" ref="O144:AX144">SUM(O143:O143)</f>
        <v>1</v>
      </c>
      <c r="P144" s="240">
        <f t="shared" si="328"/>
        <v>1</v>
      </c>
      <c r="Q144" s="240">
        <f t="shared" si="328"/>
        <v>1</v>
      </c>
      <c r="R144" s="240">
        <f t="shared" si="328"/>
        <v>1</v>
      </c>
      <c r="S144" s="240">
        <f t="shared" si="328"/>
        <v>1</v>
      </c>
      <c r="T144" s="240">
        <f t="shared" si="328"/>
        <v>1</v>
      </c>
      <c r="U144" s="240">
        <f t="shared" si="328"/>
        <v>1</v>
      </c>
      <c r="V144" s="240">
        <f t="shared" si="328"/>
        <v>1</v>
      </c>
      <c r="W144" s="240">
        <f t="shared" si="328"/>
        <v>1</v>
      </c>
      <c r="X144" s="240">
        <f t="shared" si="328"/>
        <v>1</v>
      </c>
      <c r="Y144" s="240">
        <f t="shared" si="328"/>
        <v>1</v>
      </c>
      <c r="Z144" s="240">
        <f t="shared" si="328"/>
        <v>1</v>
      </c>
      <c r="AA144" s="240">
        <f t="shared" si="328"/>
        <v>1</v>
      </c>
      <c r="AB144" s="240">
        <f t="shared" si="328"/>
        <v>1</v>
      </c>
      <c r="AC144" s="240">
        <f t="shared" si="328"/>
        <v>1</v>
      </c>
      <c r="AD144" s="240">
        <f t="shared" si="328"/>
        <v>1</v>
      </c>
      <c r="AE144" s="240">
        <f t="shared" si="328"/>
        <v>1</v>
      </c>
      <c r="AF144" s="240">
        <f t="shared" si="328"/>
        <v>1</v>
      </c>
      <c r="AG144" s="240">
        <f t="shared" si="328"/>
        <v>1</v>
      </c>
      <c r="AH144" s="240">
        <f t="shared" si="328"/>
        <v>1</v>
      </c>
      <c r="AI144" s="240">
        <f t="shared" si="328"/>
        <v>1</v>
      </c>
      <c r="AJ144" s="240">
        <f t="shared" si="328"/>
        <v>1</v>
      </c>
      <c r="AK144" s="240">
        <f t="shared" si="328"/>
        <v>1</v>
      </c>
      <c r="AL144" s="240">
        <f t="shared" si="328"/>
        <v>1</v>
      </c>
      <c r="AM144" s="240">
        <f t="shared" si="328"/>
        <v>1</v>
      </c>
      <c r="AN144" s="240">
        <f t="shared" si="328"/>
        <v>1</v>
      </c>
      <c r="AO144" s="240">
        <f t="shared" si="328"/>
        <v>1</v>
      </c>
      <c r="AP144" s="240">
        <f t="shared" si="328"/>
        <v>1</v>
      </c>
      <c r="AQ144" s="240">
        <f t="shared" si="328"/>
        <v>1</v>
      </c>
      <c r="AR144" s="240">
        <f t="shared" si="328"/>
        <v>1</v>
      </c>
      <c r="AS144" s="240">
        <f t="shared" si="328"/>
        <v>1</v>
      </c>
      <c r="AT144" s="240">
        <f t="shared" si="328"/>
        <v>1</v>
      </c>
      <c r="AU144" s="240">
        <f t="shared" si="328"/>
        <v>1</v>
      </c>
      <c r="AV144" s="240">
        <f t="shared" si="328"/>
        <v>1</v>
      </c>
      <c r="AW144" s="240">
        <f t="shared" si="328"/>
        <v>1</v>
      </c>
      <c r="AX144" s="240">
        <f t="shared" si="328"/>
        <v>1</v>
      </c>
      <c r="AZ144" s="243">
        <f aca="true" t="shared" si="329" ref="AZ144:CI144">SUM(AZ143:AZ143)</f>
        <v>3333.3333333333335</v>
      </c>
      <c r="BA144" s="243">
        <f t="shared" si="329"/>
        <v>3333.3333333333335</v>
      </c>
      <c r="BB144" s="243">
        <f t="shared" si="329"/>
        <v>3333.3333333333335</v>
      </c>
      <c r="BC144" s="243">
        <f t="shared" si="329"/>
        <v>3333.3333333333335</v>
      </c>
      <c r="BD144" s="243">
        <f t="shared" si="329"/>
        <v>3333.3333333333335</v>
      </c>
      <c r="BE144" s="243">
        <f t="shared" si="329"/>
        <v>3333.3333333333335</v>
      </c>
      <c r="BF144" s="243">
        <f t="shared" si="329"/>
        <v>3333.3333333333335</v>
      </c>
      <c r="BG144" s="243">
        <f t="shared" si="329"/>
        <v>3333.3333333333335</v>
      </c>
      <c r="BH144" s="243">
        <f t="shared" si="329"/>
        <v>3333.3333333333335</v>
      </c>
      <c r="BI144" s="243">
        <f t="shared" si="329"/>
        <v>3333.3333333333335</v>
      </c>
      <c r="BJ144" s="243">
        <f t="shared" si="329"/>
        <v>3333.3333333333335</v>
      </c>
      <c r="BK144" s="243">
        <f t="shared" si="329"/>
        <v>3333.3333333333335</v>
      </c>
      <c r="BL144" s="243">
        <f t="shared" si="329"/>
        <v>3400</v>
      </c>
      <c r="BM144" s="243">
        <f t="shared" si="329"/>
        <v>3400</v>
      </c>
      <c r="BN144" s="243">
        <f t="shared" si="329"/>
        <v>3400</v>
      </c>
      <c r="BO144" s="243">
        <f t="shared" si="329"/>
        <v>3400</v>
      </c>
      <c r="BP144" s="243">
        <f t="shared" si="329"/>
        <v>3400</v>
      </c>
      <c r="BQ144" s="243">
        <f t="shared" si="329"/>
        <v>3400</v>
      </c>
      <c r="BR144" s="243">
        <f t="shared" si="329"/>
        <v>3400</v>
      </c>
      <c r="BS144" s="243">
        <f t="shared" si="329"/>
        <v>3400</v>
      </c>
      <c r="BT144" s="243">
        <f t="shared" si="329"/>
        <v>3400</v>
      </c>
      <c r="BU144" s="243">
        <f t="shared" si="329"/>
        <v>3400</v>
      </c>
      <c r="BV144" s="243">
        <f t="shared" si="329"/>
        <v>3400</v>
      </c>
      <c r="BW144" s="243">
        <f t="shared" si="329"/>
        <v>3400</v>
      </c>
      <c r="BX144" s="243">
        <f t="shared" si="329"/>
        <v>3468</v>
      </c>
      <c r="BY144" s="243">
        <f t="shared" si="329"/>
        <v>3468</v>
      </c>
      <c r="BZ144" s="243">
        <f t="shared" si="329"/>
        <v>3468</v>
      </c>
      <c r="CA144" s="243">
        <f t="shared" si="329"/>
        <v>3468</v>
      </c>
      <c r="CB144" s="243">
        <f t="shared" si="329"/>
        <v>3468</v>
      </c>
      <c r="CC144" s="243">
        <f t="shared" si="329"/>
        <v>3468</v>
      </c>
      <c r="CD144" s="243">
        <f t="shared" si="329"/>
        <v>3468</v>
      </c>
      <c r="CE144" s="243">
        <f t="shared" si="329"/>
        <v>3468</v>
      </c>
      <c r="CF144" s="243">
        <f t="shared" si="329"/>
        <v>3468</v>
      </c>
      <c r="CG144" s="243">
        <f t="shared" si="329"/>
        <v>3468</v>
      </c>
      <c r="CH144" s="243">
        <f t="shared" si="329"/>
        <v>3468</v>
      </c>
      <c r="CI144" s="272">
        <f t="shared" si="329"/>
        <v>3468</v>
      </c>
      <c r="CJ144" s="243"/>
      <c r="CK144" s="243"/>
      <c r="CL144" s="243"/>
      <c r="CM144" s="243"/>
      <c r="CN144" s="243"/>
      <c r="CO144" s="243"/>
      <c r="CP144" s="243"/>
      <c r="CQ144" s="243"/>
      <c r="CR144" s="243"/>
      <c r="CS144" s="243"/>
      <c r="CT144" s="243"/>
      <c r="CU144" s="243"/>
      <c r="CV144" s="243"/>
      <c r="CW144" s="243"/>
      <c r="CX144" s="243"/>
      <c r="CY144" s="243"/>
      <c r="CZ144" s="243"/>
      <c r="DA144" s="243"/>
      <c r="DB144" s="243"/>
      <c r="DC144" s="243"/>
      <c r="DD144" s="243"/>
      <c r="DE144" s="243"/>
      <c r="DF144" s="243"/>
      <c r="DG144" s="243"/>
      <c r="DH144" s="243"/>
      <c r="DI144" s="243"/>
      <c r="DJ144" s="243"/>
    </row>
    <row r="145" spans="1:87" ht="12.75">
      <c r="A145" s="32" t="s">
        <v>196</v>
      </c>
      <c r="B145" s="32"/>
      <c r="C145" s="26"/>
      <c r="D145" s="26"/>
      <c r="E145" s="246"/>
      <c r="F145" s="111"/>
      <c r="G145" s="23"/>
      <c r="H145" s="23"/>
      <c r="I145" s="23"/>
      <c r="J145" s="246"/>
      <c r="K145" s="158">
        <f>K144*B5</f>
        <v>10000</v>
      </c>
      <c r="L145" s="153">
        <f>L144*C5</f>
        <v>10200</v>
      </c>
      <c r="M145" s="153">
        <f>M144*D5</f>
        <v>10404</v>
      </c>
      <c r="N145" s="24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3">
        <f>AZ144*$B$5</f>
        <v>833.3333333333334</v>
      </c>
      <c r="BA145" s="23">
        <f aca="true" t="shared" si="330" ref="BA145:BK145">BA144*$B$5</f>
        <v>833.3333333333334</v>
      </c>
      <c r="BB145" s="23">
        <f t="shared" si="330"/>
        <v>833.3333333333334</v>
      </c>
      <c r="BC145" s="23">
        <f t="shared" si="330"/>
        <v>833.3333333333334</v>
      </c>
      <c r="BD145" s="23">
        <f t="shared" si="330"/>
        <v>833.3333333333334</v>
      </c>
      <c r="BE145" s="23">
        <f t="shared" si="330"/>
        <v>833.3333333333334</v>
      </c>
      <c r="BF145" s="23">
        <f t="shared" si="330"/>
        <v>833.3333333333334</v>
      </c>
      <c r="BG145" s="23">
        <f t="shared" si="330"/>
        <v>833.3333333333334</v>
      </c>
      <c r="BH145" s="23">
        <f t="shared" si="330"/>
        <v>833.3333333333334</v>
      </c>
      <c r="BI145" s="23">
        <f t="shared" si="330"/>
        <v>833.3333333333334</v>
      </c>
      <c r="BJ145" s="23">
        <f t="shared" si="330"/>
        <v>833.3333333333334</v>
      </c>
      <c r="BK145" s="23">
        <f t="shared" si="330"/>
        <v>833.3333333333334</v>
      </c>
      <c r="BL145" s="23">
        <f>BL144*$C$5</f>
        <v>850</v>
      </c>
      <c r="BM145" s="23">
        <f aca="true" t="shared" si="331" ref="BM145:BW145">BM144*$C$5</f>
        <v>850</v>
      </c>
      <c r="BN145" s="23">
        <f t="shared" si="331"/>
        <v>850</v>
      </c>
      <c r="BO145" s="23">
        <f t="shared" si="331"/>
        <v>850</v>
      </c>
      <c r="BP145" s="23">
        <f t="shared" si="331"/>
        <v>850</v>
      </c>
      <c r="BQ145" s="23">
        <f t="shared" si="331"/>
        <v>850</v>
      </c>
      <c r="BR145" s="23">
        <f t="shared" si="331"/>
        <v>850</v>
      </c>
      <c r="BS145" s="23">
        <f t="shared" si="331"/>
        <v>850</v>
      </c>
      <c r="BT145" s="23">
        <f t="shared" si="331"/>
        <v>850</v>
      </c>
      <c r="BU145" s="23">
        <f t="shared" si="331"/>
        <v>850</v>
      </c>
      <c r="BV145" s="23">
        <f t="shared" si="331"/>
        <v>850</v>
      </c>
      <c r="BW145" s="23">
        <f t="shared" si="331"/>
        <v>850</v>
      </c>
      <c r="BX145" s="23">
        <f>BX144*$D$5</f>
        <v>867</v>
      </c>
      <c r="BY145" s="23">
        <f aca="true" t="shared" si="332" ref="BY145:CI145">BY144*$D$5</f>
        <v>867</v>
      </c>
      <c r="BZ145" s="23">
        <f t="shared" si="332"/>
        <v>867</v>
      </c>
      <c r="CA145" s="23">
        <f t="shared" si="332"/>
        <v>867</v>
      </c>
      <c r="CB145" s="23">
        <f t="shared" si="332"/>
        <v>867</v>
      </c>
      <c r="CC145" s="23">
        <f t="shared" si="332"/>
        <v>867</v>
      </c>
      <c r="CD145" s="23">
        <f t="shared" si="332"/>
        <v>867</v>
      </c>
      <c r="CE145" s="23">
        <f t="shared" si="332"/>
        <v>867</v>
      </c>
      <c r="CF145" s="23">
        <f t="shared" si="332"/>
        <v>867</v>
      </c>
      <c r="CG145" s="23">
        <f t="shared" si="332"/>
        <v>867</v>
      </c>
      <c r="CH145" s="23">
        <f t="shared" si="332"/>
        <v>867</v>
      </c>
      <c r="CI145" s="112">
        <f t="shared" si="332"/>
        <v>867</v>
      </c>
    </row>
    <row r="146" spans="1:87" ht="12.75">
      <c r="A146" s="32" t="s">
        <v>341</v>
      </c>
      <c r="B146" s="32"/>
      <c r="C146" s="26"/>
      <c r="D146" s="26"/>
      <c r="E146" s="246"/>
      <c r="F146" s="111"/>
      <c r="G146" s="23"/>
      <c r="H146" s="23"/>
      <c r="I146" s="23"/>
      <c r="J146" s="246"/>
      <c r="K146" s="158">
        <f>K144+K145</f>
        <v>50000</v>
      </c>
      <c r="L146" s="153">
        <f>L144+L145</f>
        <v>51000</v>
      </c>
      <c r="M146" s="153">
        <f>M144+M145</f>
        <v>52020</v>
      </c>
      <c r="N146" s="24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3">
        <f>AZ144+AZ145</f>
        <v>4166.666666666667</v>
      </c>
      <c r="BA146" s="23">
        <f aca="true" t="shared" si="333" ref="BA146:CI146">BA144+BA145</f>
        <v>4166.666666666667</v>
      </c>
      <c r="BB146" s="23">
        <f t="shared" si="333"/>
        <v>4166.666666666667</v>
      </c>
      <c r="BC146" s="23">
        <f t="shared" si="333"/>
        <v>4166.666666666667</v>
      </c>
      <c r="BD146" s="23">
        <f t="shared" si="333"/>
        <v>4166.666666666667</v>
      </c>
      <c r="BE146" s="23">
        <f t="shared" si="333"/>
        <v>4166.666666666667</v>
      </c>
      <c r="BF146" s="23">
        <f t="shared" si="333"/>
        <v>4166.666666666667</v>
      </c>
      <c r="BG146" s="23">
        <f t="shared" si="333"/>
        <v>4166.666666666667</v>
      </c>
      <c r="BH146" s="23">
        <f t="shared" si="333"/>
        <v>4166.666666666667</v>
      </c>
      <c r="BI146" s="23">
        <f t="shared" si="333"/>
        <v>4166.666666666667</v>
      </c>
      <c r="BJ146" s="23">
        <f t="shared" si="333"/>
        <v>4166.666666666667</v>
      </c>
      <c r="BK146" s="23">
        <f t="shared" si="333"/>
        <v>4166.666666666667</v>
      </c>
      <c r="BL146" s="23">
        <f t="shared" si="333"/>
        <v>4250</v>
      </c>
      <c r="BM146" s="23">
        <f t="shared" si="333"/>
        <v>4250</v>
      </c>
      <c r="BN146" s="23">
        <f t="shared" si="333"/>
        <v>4250</v>
      </c>
      <c r="BO146" s="23">
        <f t="shared" si="333"/>
        <v>4250</v>
      </c>
      <c r="BP146" s="23">
        <f t="shared" si="333"/>
        <v>4250</v>
      </c>
      <c r="BQ146" s="23">
        <f t="shared" si="333"/>
        <v>4250</v>
      </c>
      <c r="BR146" s="23">
        <f t="shared" si="333"/>
        <v>4250</v>
      </c>
      <c r="BS146" s="23">
        <f t="shared" si="333"/>
        <v>4250</v>
      </c>
      <c r="BT146" s="23">
        <f t="shared" si="333"/>
        <v>4250</v>
      </c>
      <c r="BU146" s="23">
        <f t="shared" si="333"/>
        <v>4250</v>
      </c>
      <c r="BV146" s="23">
        <f t="shared" si="333"/>
        <v>4250</v>
      </c>
      <c r="BW146" s="23">
        <f t="shared" si="333"/>
        <v>4250</v>
      </c>
      <c r="BX146" s="23">
        <f t="shared" si="333"/>
        <v>4335</v>
      </c>
      <c r="BY146" s="23">
        <f t="shared" si="333"/>
        <v>4335</v>
      </c>
      <c r="BZ146" s="23">
        <f t="shared" si="333"/>
        <v>4335</v>
      </c>
      <c r="CA146" s="23">
        <f t="shared" si="333"/>
        <v>4335</v>
      </c>
      <c r="CB146" s="23">
        <f t="shared" si="333"/>
        <v>4335</v>
      </c>
      <c r="CC146" s="23">
        <f t="shared" si="333"/>
        <v>4335</v>
      </c>
      <c r="CD146" s="23">
        <f t="shared" si="333"/>
        <v>4335</v>
      </c>
      <c r="CE146" s="23">
        <f t="shared" si="333"/>
        <v>4335</v>
      </c>
      <c r="CF146" s="23">
        <f t="shared" si="333"/>
        <v>4335</v>
      </c>
      <c r="CG146" s="23">
        <f t="shared" si="333"/>
        <v>4335</v>
      </c>
      <c r="CH146" s="23">
        <f t="shared" si="333"/>
        <v>4335</v>
      </c>
      <c r="CI146" s="112">
        <f t="shared" si="333"/>
        <v>4335</v>
      </c>
    </row>
    <row r="147" spans="1:87" ht="12.75">
      <c r="A147" s="32"/>
      <c r="B147" s="32"/>
      <c r="C147" s="26"/>
      <c r="D147" s="26"/>
      <c r="E147" s="246"/>
      <c r="F147" s="111"/>
      <c r="G147" s="23"/>
      <c r="H147" s="23"/>
      <c r="I147" s="23"/>
      <c r="J147" s="246"/>
      <c r="K147" s="158"/>
      <c r="L147" s="153"/>
      <c r="M147" s="153"/>
      <c r="N147" s="24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112"/>
    </row>
    <row r="148" spans="1:87" ht="12.75">
      <c r="A148" s="271" t="s">
        <v>349</v>
      </c>
      <c r="B148" s="32"/>
      <c r="C148" s="26"/>
      <c r="D148" s="26"/>
      <c r="E148" s="246"/>
      <c r="F148" s="111"/>
      <c r="G148" s="23"/>
      <c r="H148" s="23"/>
      <c r="I148" s="23"/>
      <c r="J148" s="246"/>
      <c r="K148" s="32"/>
      <c r="L148" s="26"/>
      <c r="M148" s="26"/>
      <c r="N148" s="24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112"/>
    </row>
    <row r="149" spans="1:87" s="26" customFormat="1" ht="12.75" customHeight="1">
      <c r="A149" s="32" t="s">
        <v>398</v>
      </c>
      <c r="B149" s="234">
        <v>1</v>
      </c>
      <c r="C149" s="235">
        <v>1</v>
      </c>
      <c r="D149" s="235">
        <v>1</v>
      </c>
      <c r="E149" s="246"/>
      <c r="F149" s="212">
        <f>F117</f>
        <v>85000</v>
      </c>
      <c r="G149" s="23">
        <f>F149</f>
        <v>85000</v>
      </c>
      <c r="H149" s="23">
        <f>G149*(1+$C$4)</f>
        <v>86700</v>
      </c>
      <c r="I149" s="23">
        <f>H149*(1+$D$4)</f>
        <v>88434</v>
      </c>
      <c r="J149" s="246"/>
      <c r="K149" s="158">
        <f>SUM(AZ149:BK149)</f>
        <v>85000</v>
      </c>
      <c r="L149" s="153">
        <f>SUM(BL149:BW149)</f>
        <v>86700</v>
      </c>
      <c r="M149" s="153">
        <f>SUM(BX149:CI149)</f>
        <v>88434</v>
      </c>
      <c r="N149" s="246"/>
      <c r="O149" s="26">
        <f>$B$149</f>
        <v>1</v>
      </c>
      <c r="P149" s="26">
        <f aca="true" t="shared" si="334" ref="P149:Z149">$B$149</f>
        <v>1</v>
      </c>
      <c r="Q149" s="26">
        <f t="shared" si="334"/>
        <v>1</v>
      </c>
      <c r="R149" s="26">
        <f t="shared" si="334"/>
        <v>1</v>
      </c>
      <c r="S149" s="26">
        <f t="shared" si="334"/>
        <v>1</v>
      </c>
      <c r="T149" s="26">
        <f t="shared" si="334"/>
        <v>1</v>
      </c>
      <c r="U149" s="26">
        <f t="shared" si="334"/>
        <v>1</v>
      </c>
      <c r="V149" s="26">
        <f t="shared" si="334"/>
        <v>1</v>
      </c>
      <c r="W149" s="26">
        <f t="shared" si="334"/>
        <v>1</v>
      </c>
      <c r="X149" s="26">
        <f t="shared" si="334"/>
        <v>1</v>
      </c>
      <c r="Y149" s="26">
        <f t="shared" si="334"/>
        <v>1</v>
      </c>
      <c r="Z149" s="26">
        <f t="shared" si="334"/>
        <v>1</v>
      </c>
      <c r="AA149" s="26">
        <f>$C$149</f>
        <v>1</v>
      </c>
      <c r="AB149" s="26">
        <f aca="true" t="shared" si="335" ref="AB149:AL149">$C$149</f>
        <v>1</v>
      </c>
      <c r="AC149" s="26">
        <f t="shared" si="335"/>
        <v>1</v>
      </c>
      <c r="AD149" s="26">
        <f t="shared" si="335"/>
        <v>1</v>
      </c>
      <c r="AE149" s="26">
        <f t="shared" si="335"/>
        <v>1</v>
      </c>
      <c r="AF149" s="26">
        <f t="shared" si="335"/>
        <v>1</v>
      </c>
      <c r="AG149" s="26">
        <f t="shared" si="335"/>
        <v>1</v>
      </c>
      <c r="AH149" s="26">
        <f t="shared" si="335"/>
        <v>1</v>
      </c>
      <c r="AI149" s="26">
        <f t="shared" si="335"/>
        <v>1</v>
      </c>
      <c r="AJ149" s="26">
        <f t="shared" si="335"/>
        <v>1</v>
      </c>
      <c r="AK149" s="26">
        <f t="shared" si="335"/>
        <v>1</v>
      </c>
      <c r="AL149" s="26">
        <f t="shared" si="335"/>
        <v>1</v>
      </c>
      <c r="AM149" s="26">
        <f>$D$149</f>
        <v>1</v>
      </c>
      <c r="AN149" s="26">
        <f aca="true" t="shared" si="336" ref="AN149:AX149">$D$149</f>
        <v>1</v>
      </c>
      <c r="AO149" s="26">
        <f t="shared" si="336"/>
        <v>1</v>
      </c>
      <c r="AP149" s="26">
        <f t="shared" si="336"/>
        <v>1</v>
      </c>
      <c r="AQ149" s="26">
        <f t="shared" si="336"/>
        <v>1</v>
      </c>
      <c r="AR149" s="26">
        <f t="shared" si="336"/>
        <v>1</v>
      </c>
      <c r="AS149" s="26">
        <f t="shared" si="336"/>
        <v>1</v>
      </c>
      <c r="AT149" s="26">
        <f t="shared" si="336"/>
        <v>1</v>
      </c>
      <c r="AU149" s="26">
        <f t="shared" si="336"/>
        <v>1</v>
      </c>
      <c r="AV149" s="26">
        <f t="shared" si="336"/>
        <v>1</v>
      </c>
      <c r="AW149" s="26">
        <f t="shared" si="336"/>
        <v>1</v>
      </c>
      <c r="AX149" s="26">
        <f t="shared" si="336"/>
        <v>1</v>
      </c>
      <c r="AZ149" s="23">
        <f>($G$149/12)*O149</f>
        <v>7083.333333333333</v>
      </c>
      <c r="BA149" s="23">
        <f aca="true" t="shared" si="337" ref="BA149:BK149">($G$149/12)*P149</f>
        <v>7083.333333333333</v>
      </c>
      <c r="BB149" s="23">
        <f t="shared" si="337"/>
        <v>7083.333333333333</v>
      </c>
      <c r="BC149" s="23">
        <f t="shared" si="337"/>
        <v>7083.333333333333</v>
      </c>
      <c r="BD149" s="23">
        <f t="shared" si="337"/>
        <v>7083.333333333333</v>
      </c>
      <c r="BE149" s="23">
        <f t="shared" si="337"/>
        <v>7083.333333333333</v>
      </c>
      <c r="BF149" s="23">
        <f t="shared" si="337"/>
        <v>7083.333333333333</v>
      </c>
      <c r="BG149" s="23">
        <f t="shared" si="337"/>
        <v>7083.333333333333</v>
      </c>
      <c r="BH149" s="23">
        <f t="shared" si="337"/>
        <v>7083.333333333333</v>
      </c>
      <c r="BI149" s="23">
        <f t="shared" si="337"/>
        <v>7083.333333333333</v>
      </c>
      <c r="BJ149" s="23">
        <f t="shared" si="337"/>
        <v>7083.333333333333</v>
      </c>
      <c r="BK149" s="23">
        <f t="shared" si="337"/>
        <v>7083.333333333333</v>
      </c>
      <c r="BL149" s="23">
        <f>($H$149/12)*AA149</f>
        <v>7225</v>
      </c>
      <c r="BM149" s="23">
        <f aca="true" t="shared" si="338" ref="BM149:BW149">($H$149/12)*AB149</f>
        <v>7225</v>
      </c>
      <c r="BN149" s="23">
        <f t="shared" si="338"/>
        <v>7225</v>
      </c>
      <c r="BO149" s="23">
        <f t="shared" si="338"/>
        <v>7225</v>
      </c>
      <c r="BP149" s="23">
        <f t="shared" si="338"/>
        <v>7225</v>
      </c>
      <c r="BQ149" s="23">
        <f t="shared" si="338"/>
        <v>7225</v>
      </c>
      <c r="BR149" s="23">
        <f t="shared" si="338"/>
        <v>7225</v>
      </c>
      <c r="BS149" s="23">
        <f t="shared" si="338"/>
        <v>7225</v>
      </c>
      <c r="BT149" s="23">
        <f t="shared" si="338"/>
        <v>7225</v>
      </c>
      <c r="BU149" s="23">
        <f t="shared" si="338"/>
        <v>7225</v>
      </c>
      <c r="BV149" s="23">
        <f t="shared" si="338"/>
        <v>7225</v>
      </c>
      <c r="BW149" s="23">
        <f t="shared" si="338"/>
        <v>7225</v>
      </c>
      <c r="BX149" s="23">
        <f>($I$149/12)*AM149</f>
        <v>7369.5</v>
      </c>
      <c r="BY149" s="23">
        <f aca="true" t="shared" si="339" ref="BY149:CI149">($I$149/12)*AN149</f>
        <v>7369.5</v>
      </c>
      <c r="BZ149" s="23">
        <f t="shared" si="339"/>
        <v>7369.5</v>
      </c>
      <c r="CA149" s="23">
        <f t="shared" si="339"/>
        <v>7369.5</v>
      </c>
      <c r="CB149" s="23">
        <f t="shared" si="339"/>
        <v>7369.5</v>
      </c>
      <c r="CC149" s="23">
        <f t="shared" si="339"/>
        <v>7369.5</v>
      </c>
      <c r="CD149" s="23">
        <f t="shared" si="339"/>
        <v>7369.5</v>
      </c>
      <c r="CE149" s="23">
        <f t="shared" si="339"/>
        <v>7369.5</v>
      </c>
      <c r="CF149" s="23">
        <f t="shared" si="339"/>
        <v>7369.5</v>
      </c>
      <c r="CG149" s="23">
        <f t="shared" si="339"/>
        <v>7369.5</v>
      </c>
      <c r="CH149" s="23">
        <f t="shared" si="339"/>
        <v>7369.5</v>
      </c>
      <c r="CI149" s="112">
        <f t="shared" si="339"/>
        <v>7369.5</v>
      </c>
    </row>
    <row r="150" spans="1:87" s="52" customFormat="1" ht="12.75" customHeight="1">
      <c r="A150" s="33" t="s">
        <v>377</v>
      </c>
      <c r="B150" s="236">
        <v>0.5</v>
      </c>
      <c r="C150" s="237">
        <v>0.5</v>
      </c>
      <c r="D150" s="237">
        <v>0.5</v>
      </c>
      <c r="E150" s="248"/>
      <c r="F150" s="213">
        <f>F81</f>
        <v>78000</v>
      </c>
      <c r="G150" s="116">
        <f>F150</f>
        <v>78000</v>
      </c>
      <c r="H150" s="116">
        <f>G150*(1+$C$4)</f>
        <v>79560</v>
      </c>
      <c r="I150" s="116">
        <f>H150*(1+$D$4)</f>
        <v>81151.2</v>
      </c>
      <c r="J150" s="248"/>
      <c r="K150" s="214">
        <f>SUM(AZ150:BK150)</f>
        <v>39000</v>
      </c>
      <c r="L150" s="215">
        <f>SUM(BL150:BW150)</f>
        <v>39780</v>
      </c>
      <c r="M150" s="215">
        <f>SUM(BX150:CI150)</f>
        <v>40575.600000000006</v>
      </c>
      <c r="N150" s="248"/>
      <c r="O150" s="52">
        <f>$B$150</f>
        <v>0.5</v>
      </c>
      <c r="P150" s="52">
        <f aca="true" t="shared" si="340" ref="P150:Z150">$B$150</f>
        <v>0.5</v>
      </c>
      <c r="Q150" s="52">
        <f t="shared" si="340"/>
        <v>0.5</v>
      </c>
      <c r="R150" s="52">
        <f t="shared" si="340"/>
        <v>0.5</v>
      </c>
      <c r="S150" s="52">
        <f t="shared" si="340"/>
        <v>0.5</v>
      </c>
      <c r="T150" s="52">
        <f t="shared" si="340"/>
        <v>0.5</v>
      </c>
      <c r="U150" s="52">
        <f t="shared" si="340"/>
        <v>0.5</v>
      </c>
      <c r="V150" s="52">
        <f t="shared" si="340"/>
        <v>0.5</v>
      </c>
      <c r="W150" s="52">
        <f t="shared" si="340"/>
        <v>0.5</v>
      </c>
      <c r="X150" s="52">
        <f t="shared" si="340"/>
        <v>0.5</v>
      </c>
      <c r="Y150" s="52">
        <f t="shared" si="340"/>
        <v>0.5</v>
      </c>
      <c r="Z150" s="52">
        <f t="shared" si="340"/>
        <v>0.5</v>
      </c>
      <c r="AA150" s="52">
        <f>$C$150</f>
        <v>0.5</v>
      </c>
      <c r="AB150" s="52">
        <f aca="true" t="shared" si="341" ref="AB150:AL150">$C$150</f>
        <v>0.5</v>
      </c>
      <c r="AC150" s="52">
        <f t="shared" si="341"/>
        <v>0.5</v>
      </c>
      <c r="AD150" s="52">
        <f t="shared" si="341"/>
        <v>0.5</v>
      </c>
      <c r="AE150" s="52">
        <f t="shared" si="341"/>
        <v>0.5</v>
      </c>
      <c r="AF150" s="52">
        <f t="shared" si="341"/>
        <v>0.5</v>
      </c>
      <c r="AG150" s="52">
        <f t="shared" si="341"/>
        <v>0.5</v>
      </c>
      <c r="AH150" s="52">
        <f t="shared" si="341"/>
        <v>0.5</v>
      </c>
      <c r="AI150" s="52">
        <f t="shared" si="341"/>
        <v>0.5</v>
      </c>
      <c r="AJ150" s="52">
        <f t="shared" si="341"/>
        <v>0.5</v>
      </c>
      <c r="AK150" s="52">
        <f t="shared" si="341"/>
        <v>0.5</v>
      </c>
      <c r="AL150" s="52">
        <f t="shared" si="341"/>
        <v>0.5</v>
      </c>
      <c r="AM150" s="52">
        <f>$D$150</f>
        <v>0.5</v>
      </c>
      <c r="AN150" s="52">
        <f aca="true" t="shared" si="342" ref="AN150:AX150">$D$150</f>
        <v>0.5</v>
      </c>
      <c r="AO150" s="52">
        <f t="shared" si="342"/>
        <v>0.5</v>
      </c>
      <c r="AP150" s="52">
        <f t="shared" si="342"/>
        <v>0.5</v>
      </c>
      <c r="AQ150" s="52">
        <f t="shared" si="342"/>
        <v>0.5</v>
      </c>
      <c r="AR150" s="52">
        <f t="shared" si="342"/>
        <v>0.5</v>
      </c>
      <c r="AS150" s="52">
        <f t="shared" si="342"/>
        <v>0.5</v>
      </c>
      <c r="AT150" s="52">
        <f t="shared" si="342"/>
        <v>0.5</v>
      </c>
      <c r="AU150" s="52">
        <f t="shared" si="342"/>
        <v>0.5</v>
      </c>
      <c r="AV150" s="52">
        <f t="shared" si="342"/>
        <v>0.5</v>
      </c>
      <c r="AW150" s="52">
        <f t="shared" si="342"/>
        <v>0.5</v>
      </c>
      <c r="AX150" s="52">
        <f t="shared" si="342"/>
        <v>0.5</v>
      </c>
      <c r="AZ150" s="116">
        <f>($G$150/12)*O150</f>
        <v>3250</v>
      </c>
      <c r="BA150" s="116">
        <f aca="true" t="shared" si="343" ref="BA150:BK150">($G$150/12)*P150</f>
        <v>3250</v>
      </c>
      <c r="BB150" s="116">
        <f t="shared" si="343"/>
        <v>3250</v>
      </c>
      <c r="BC150" s="116">
        <f t="shared" si="343"/>
        <v>3250</v>
      </c>
      <c r="BD150" s="116">
        <f t="shared" si="343"/>
        <v>3250</v>
      </c>
      <c r="BE150" s="116">
        <f t="shared" si="343"/>
        <v>3250</v>
      </c>
      <c r="BF150" s="116">
        <f t="shared" si="343"/>
        <v>3250</v>
      </c>
      <c r="BG150" s="116">
        <f t="shared" si="343"/>
        <v>3250</v>
      </c>
      <c r="BH150" s="116">
        <f t="shared" si="343"/>
        <v>3250</v>
      </c>
      <c r="BI150" s="116">
        <f t="shared" si="343"/>
        <v>3250</v>
      </c>
      <c r="BJ150" s="116">
        <f t="shared" si="343"/>
        <v>3250</v>
      </c>
      <c r="BK150" s="116">
        <f t="shared" si="343"/>
        <v>3250</v>
      </c>
      <c r="BL150" s="116">
        <f>($H$150/12)*AA150</f>
        <v>3315</v>
      </c>
      <c r="BM150" s="116">
        <f aca="true" t="shared" si="344" ref="BM150:BW150">($H$150/12)*AB150</f>
        <v>3315</v>
      </c>
      <c r="BN150" s="116">
        <f t="shared" si="344"/>
        <v>3315</v>
      </c>
      <c r="BO150" s="116">
        <f t="shared" si="344"/>
        <v>3315</v>
      </c>
      <c r="BP150" s="116">
        <f t="shared" si="344"/>
        <v>3315</v>
      </c>
      <c r="BQ150" s="116">
        <f t="shared" si="344"/>
        <v>3315</v>
      </c>
      <c r="BR150" s="116">
        <f t="shared" si="344"/>
        <v>3315</v>
      </c>
      <c r="BS150" s="116">
        <f t="shared" si="344"/>
        <v>3315</v>
      </c>
      <c r="BT150" s="116">
        <f t="shared" si="344"/>
        <v>3315</v>
      </c>
      <c r="BU150" s="116">
        <f t="shared" si="344"/>
        <v>3315</v>
      </c>
      <c r="BV150" s="116">
        <f t="shared" si="344"/>
        <v>3315</v>
      </c>
      <c r="BW150" s="116">
        <f t="shared" si="344"/>
        <v>3315</v>
      </c>
      <c r="BX150" s="116">
        <f>($I$150/12)*AM150</f>
        <v>3381.2999999999997</v>
      </c>
      <c r="BY150" s="116">
        <f aca="true" t="shared" si="345" ref="BY150:CI150">($I$150/12)*AN150</f>
        <v>3381.2999999999997</v>
      </c>
      <c r="BZ150" s="116">
        <f t="shared" si="345"/>
        <v>3381.2999999999997</v>
      </c>
      <c r="CA150" s="116">
        <f t="shared" si="345"/>
        <v>3381.2999999999997</v>
      </c>
      <c r="CB150" s="116">
        <f t="shared" si="345"/>
        <v>3381.2999999999997</v>
      </c>
      <c r="CC150" s="116">
        <f t="shared" si="345"/>
        <v>3381.2999999999997</v>
      </c>
      <c r="CD150" s="116">
        <f t="shared" si="345"/>
        <v>3381.2999999999997</v>
      </c>
      <c r="CE150" s="116">
        <f t="shared" si="345"/>
        <v>3381.2999999999997</v>
      </c>
      <c r="CF150" s="116">
        <f t="shared" si="345"/>
        <v>3381.2999999999997</v>
      </c>
      <c r="CG150" s="116">
        <f t="shared" si="345"/>
        <v>3381.2999999999997</v>
      </c>
      <c r="CH150" s="116">
        <f t="shared" si="345"/>
        <v>3381.2999999999997</v>
      </c>
      <c r="CI150" s="119">
        <f t="shared" si="345"/>
        <v>3381.2999999999997</v>
      </c>
    </row>
    <row r="151" spans="1:114" s="52" customFormat="1" ht="12.75" customHeight="1">
      <c r="A151" s="38" t="s">
        <v>316</v>
      </c>
      <c r="B151" s="38">
        <f>SUM(B149:B150)</f>
        <v>1.5</v>
      </c>
      <c r="C151" s="52">
        <f>SUM(C149:C150)</f>
        <v>1.5</v>
      </c>
      <c r="D151" s="52">
        <f>SUM(D149:D150)</f>
        <v>1.5</v>
      </c>
      <c r="E151" s="248"/>
      <c r="F151" s="118"/>
      <c r="G151" s="116"/>
      <c r="H151" s="116"/>
      <c r="I151" s="116"/>
      <c r="J151" s="248"/>
      <c r="K151" s="214">
        <f>SUM(K149:K150)</f>
        <v>124000</v>
      </c>
      <c r="L151" s="215">
        <f>SUM(L149:L150)</f>
        <v>126480</v>
      </c>
      <c r="M151" s="215">
        <f>SUM(M149:M150)</f>
        <v>129009.6</v>
      </c>
      <c r="N151" s="248"/>
      <c r="O151" s="52">
        <f aca="true" t="shared" si="346" ref="O151:AX151">SUM(O149:O150)</f>
        <v>1.5</v>
      </c>
      <c r="P151" s="52">
        <f t="shared" si="346"/>
        <v>1.5</v>
      </c>
      <c r="Q151" s="52">
        <f t="shared" si="346"/>
        <v>1.5</v>
      </c>
      <c r="R151" s="52">
        <f t="shared" si="346"/>
        <v>1.5</v>
      </c>
      <c r="S151" s="52">
        <f t="shared" si="346"/>
        <v>1.5</v>
      </c>
      <c r="T151" s="52">
        <f t="shared" si="346"/>
        <v>1.5</v>
      </c>
      <c r="U151" s="52">
        <f t="shared" si="346"/>
        <v>1.5</v>
      </c>
      <c r="V151" s="52">
        <f t="shared" si="346"/>
        <v>1.5</v>
      </c>
      <c r="W151" s="52">
        <f t="shared" si="346"/>
        <v>1.5</v>
      </c>
      <c r="X151" s="52">
        <f t="shared" si="346"/>
        <v>1.5</v>
      </c>
      <c r="Y151" s="52">
        <f t="shared" si="346"/>
        <v>1.5</v>
      </c>
      <c r="Z151" s="52">
        <f t="shared" si="346"/>
        <v>1.5</v>
      </c>
      <c r="AA151" s="52">
        <f t="shared" si="346"/>
        <v>1.5</v>
      </c>
      <c r="AB151" s="52">
        <f t="shared" si="346"/>
        <v>1.5</v>
      </c>
      <c r="AC151" s="52">
        <f t="shared" si="346"/>
        <v>1.5</v>
      </c>
      <c r="AD151" s="52">
        <f t="shared" si="346"/>
        <v>1.5</v>
      </c>
      <c r="AE151" s="52">
        <f t="shared" si="346"/>
        <v>1.5</v>
      </c>
      <c r="AF151" s="52">
        <f t="shared" si="346"/>
        <v>1.5</v>
      </c>
      <c r="AG151" s="52">
        <f t="shared" si="346"/>
        <v>1.5</v>
      </c>
      <c r="AH151" s="52">
        <f t="shared" si="346"/>
        <v>1.5</v>
      </c>
      <c r="AI151" s="52">
        <f t="shared" si="346"/>
        <v>1.5</v>
      </c>
      <c r="AJ151" s="52">
        <f t="shared" si="346"/>
        <v>1.5</v>
      </c>
      <c r="AK151" s="52">
        <f t="shared" si="346"/>
        <v>1.5</v>
      </c>
      <c r="AL151" s="52">
        <f t="shared" si="346"/>
        <v>1.5</v>
      </c>
      <c r="AM151" s="52">
        <f t="shared" si="346"/>
        <v>1.5</v>
      </c>
      <c r="AN151" s="52">
        <f t="shared" si="346"/>
        <v>1.5</v>
      </c>
      <c r="AO151" s="52">
        <f t="shared" si="346"/>
        <v>1.5</v>
      </c>
      <c r="AP151" s="52">
        <f t="shared" si="346"/>
        <v>1.5</v>
      </c>
      <c r="AQ151" s="52">
        <f t="shared" si="346"/>
        <v>1.5</v>
      </c>
      <c r="AR151" s="52">
        <f t="shared" si="346"/>
        <v>1.5</v>
      </c>
      <c r="AS151" s="52">
        <f t="shared" si="346"/>
        <v>1.5</v>
      </c>
      <c r="AT151" s="52">
        <f t="shared" si="346"/>
        <v>1.5</v>
      </c>
      <c r="AU151" s="52">
        <f t="shared" si="346"/>
        <v>1.5</v>
      </c>
      <c r="AV151" s="52">
        <f t="shared" si="346"/>
        <v>1.5</v>
      </c>
      <c r="AW151" s="52">
        <f t="shared" si="346"/>
        <v>1.5</v>
      </c>
      <c r="AX151" s="52">
        <f t="shared" si="346"/>
        <v>1.5</v>
      </c>
      <c r="AZ151" s="116">
        <f aca="true" t="shared" si="347" ref="AZ151:CI151">SUM(AZ149:AZ150)</f>
        <v>10333.333333333332</v>
      </c>
      <c r="BA151" s="116">
        <f t="shared" si="347"/>
        <v>10333.333333333332</v>
      </c>
      <c r="BB151" s="116">
        <f t="shared" si="347"/>
        <v>10333.333333333332</v>
      </c>
      <c r="BC151" s="116">
        <f t="shared" si="347"/>
        <v>10333.333333333332</v>
      </c>
      <c r="BD151" s="116">
        <f t="shared" si="347"/>
        <v>10333.333333333332</v>
      </c>
      <c r="BE151" s="116">
        <f t="shared" si="347"/>
        <v>10333.333333333332</v>
      </c>
      <c r="BF151" s="116">
        <f t="shared" si="347"/>
        <v>10333.333333333332</v>
      </c>
      <c r="BG151" s="116">
        <f t="shared" si="347"/>
        <v>10333.333333333332</v>
      </c>
      <c r="BH151" s="116">
        <f t="shared" si="347"/>
        <v>10333.333333333332</v>
      </c>
      <c r="BI151" s="116">
        <f t="shared" si="347"/>
        <v>10333.333333333332</v>
      </c>
      <c r="BJ151" s="116">
        <f t="shared" si="347"/>
        <v>10333.333333333332</v>
      </c>
      <c r="BK151" s="116">
        <f t="shared" si="347"/>
        <v>10333.333333333332</v>
      </c>
      <c r="BL151" s="116">
        <f t="shared" si="347"/>
        <v>10540</v>
      </c>
      <c r="BM151" s="116">
        <f t="shared" si="347"/>
        <v>10540</v>
      </c>
      <c r="BN151" s="116">
        <f t="shared" si="347"/>
        <v>10540</v>
      </c>
      <c r="BO151" s="116">
        <f t="shared" si="347"/>
        <v>10540</v>
      </c>
      <c r="BP151" s="116">
        <f t="shared" si="347"/>
        <v>10540</v>
      </c>
      <c r="BQ151" s="116">
        <f t="shared" si="347"/>
        <v>10540</v>
      </c>
      <c r="BR151" s="116">
        <f t="shared" si="347"/>
        <v>10540</v>
      </c>
      <c r="BS151" s="116">
        <f t="shared" si="347"/>
        <v>10540</v>
      </c>
      <c r="BT151" s="116">
        <f t="shared" si="347"/>
        <v>10540</v>
      </c>
      <c r="BU151" s="116">
        <f t="shared" si="347"/>
        <v>10540</v>
      </c>
      <c r="BV151" s="116">
        <f t="shared" si="347"/>
        <v>10540</v>
      </c>
      <c r="BW151" s="116">
        <f t="shared" si="347"/>
        <v>10540</v>
      </c>
      <c r="BX151" s="116">
        <f t="shared" si="347"/>
        <v>10750.8</v>
      </c>
      <c r="BY151" s="116">
        <f t="shared" si="347"/>
        <v>10750.8</v>
      </c>
      <c r="BZ151" s="116">
        <f t="shared" si="347"/>
        <v>10750.8</v>
      </c>
      <c r="CA151" s="116">
        <f t="shared" si="347"/>
        <v>10750.8</v>
      </c>
      <c r="CB151" s="116">
        <f t="shared" si="347"/>
        <v>10750.8</v>
      </c>
      <c r="CC151" s="116">
        <f t="shared" si="347"/>
        <v>10750.8</v>
      </c>
      <c r="CD151" s="116">
        <f t="shared" si="347"/>
        <v>10750.8</v>
      </c>
      <c r="CE151" s="116">
        <f t="shared" si="347"/>
        <v>10750.8</v>
      </c>
      <c r="CF151" s="116">
        <f t="shared" si="347"/>
        <v>10750.8</v>
      </c>
      <c r="CG151" s="116">
        <f t="shared" si="347"/>
        <v>10750.8</v>
      </c>
      <c r="CH151" s="116">
        <f t="shared" si="347"/>
        <v>10750.8</v>
      </c>
      <c r="CI151" s="119">
        <f t="shared" si="347"/>
        <v>10750.8</v>
      </c>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row>
    <row r="152" spans="1:87" ht="12.75">
      <c r="A152" s="32" t="s">
        <v>196</v>
      </c>
      <c r="B152" s="32"/>
      <c r="C152" s="26"/>
      <c r="D152" s="26"/>
      <c r="E152" s="246"/>
      <c r="F152" s="111"/>
      <c r="G152" s="23"/>
      <c r="H152" s="23"/>
      <c r="I152" s="23"/>
      <c r="J152" s="246"/>
      <c r="K152" s="158">
        <f>K151*B5</f>
        <v>31000</v>
      </c>
      <c r="L152" s="153">
        <f>L151*C5</f>
        <v>31620</v>
      </c>
      <c r="M152" s="153">
        <f>M151*D5</f>
        <v>32252.4</v>
      </c>
      <c r="N152" s="24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3">
        <f>AZ151*$B$5</f>
        <v>2583.333333333333</v>
      </c>
      <c r="BA152" s="23">
        <f aca="true" t="shared" si="348" ref="BA152:BK152">BA151*$B$5</f>
        <v>2583.333333333333</v>
      </c>
      <c r="BB152" s="23">
        <f t="shared" si="348"/>
        <v>2583.333333333333</v>
      </c>
      <c r="BC152" s="23">
        <f t="shared" si="348"/>
        <v>2583.333333333333</v>
      </c>
      <c r="BD152" s="23">
        <f t="shared" si="348"/>
        <v>2583.333333333333</v>
      </c>
      <c r="BE152" s="23">
        <f t="shared" si="348"/>
        <v>2583.333333333333</v>
      </c>
      <c r="BF152" s="23">
        <f t="shared" si="348"/>
        <v>2583.333333333333</v>
      </c>
      <c r="BG152" s="23">
        <f t="shared" si="348"/>
        <v>2583.333333333333</v>
      </c>
      <c r="BH152" s="23">
        <f t="shared" si="348"/>
        <v>2583.333333333333</v>
      </c>
      <c r="BI152" s="23">
        <f t="shared" si="348"/>
        <v>2583.333333333333</v>
      </c>
      <c r="BJ152" s="23">
        <f t="shared" si="348"/>
        <v>2583.333333333333</v>
      </c>
      <c r="BK152" s="23">
        <f t="shared" si="348"/>
        <v>2583.333333333333</v>
      </c>
      <c r="BL152" s="23">
        <f>BL151*$C$5</f>
        <v>2635</v>
      </c>
      <c r="BM152" s="23">
        <f aca="true" t="shared" si="349" ref="BM152:BW152">BM151*$C$5</f>
        <v>2635</v>
      </c>
      <c r="BN152" s="23">
        <f t="shared" si="349"/>
        <v>2635</v>
      </c>
      <c r="BO152" s="23">
        <f t="shared" si="349"/>
        <v>2635</v>
      </c>
      <c r="BP152" s="23">
        <f t="shared" si="349"/>
        <v>2635</v>
      </c>
      <c r="BQ152" s="23">
        <f t="shared" si="349"/>
        <v>2635</v>
      </c>
      <c r="BR152" s="23">
        <f t="shared" si="349"/>
        <v>2635</v>
      </c>
      <c r="BS152" s="23">
        <f t="shared" si="349"/>
        <v>2635</v>
      </c>
      <c r="BT152" s="23">
        <f t="shared" si="349"/>
        <v>2635</v>
      </c>
      <c r="BU152" s="23">
        <f t="shared" si="349"/>
        <v>2635</v>
      </c>
      <c r="BV152" s="23">
        <f t="shared" si="349"/>
        <v>2635</v>
      </c>
      <c r="BW152" s="23">
        <f t="shared" si="349"/>
        <v>2635</v>
      </c>
      <c r="BX152" s="23">
        <f>BX151*$D$5</f>
        <v>2687.7</v>
      </c>
      <c r="BY152" s="23">
        <f aca="true" t="shared" si="350" ref="BY152:CI152">BY151*$D$5</f>
        <v>2687.7</v>
      </c>
      <c r="BZ152" s="23">
        <f t="shared" si="350"/>
        <v>2687.7</v>
      </c>
      <c r="CA152" s="23">
        <f t="shared" si="350"/>
        <v>2687.7</v>
      </c>
      <c r="CB152" s="23">
        <f t="shared" si="350"/>
        <v>2687.7</v>
      </c>
      <c r="CC152" s="23">
        <f t="shared" si="350"/>
        <v>2687.7</v>
      </c>
      <c r="CD152" s="23">
        <f t="shared" si="350"/>
        <v>2687.7</v>
      </c>
      <c r="CE152" s="23">
        <f t="shared" si="350"/>
        <v>2687.7</v>
      </c>
      <c r="CF152" s="23">
        <f t="shared" si="350"/>
        <v>2687.7</v>
      </c>
      <c r="CG152" s="23">
        <f t="shared" si="350"/>
        <v>2687.7</v>
      </c>
      <c r="CH152" s="23">
        <f t="shared" si="350"/>
        <v>2687.7</v>
      </c>
      <c r="CI152" s="112">
        <f t="shared" si="350"/>
        <v>2687.7</v>
      </c>
    </row>
    <row r="153" spans="1:87" ht="12.75">
      <c r="A153" s="32" t="s">
        <v>341</v>
      </c>
      <c r="B153" s="32"/>
      <c r="C153" s="26"/>
      <c r="D153" s="26"/>
      <c r="E153" s="246"/>
      <c r="F153" s="111"/>
      <c r="G153" s="23"/>
      <c r="H153" s="23"/>
      <c r="I153" s="23"/>
      <c r="J153" s="246"/>
      <c r="K153" s="158">
        <f>K151+K152</f>
        <v>155000</v>
      </c>
      <c r="L153" s="153">
        <f>L151+L152</f>
        <v>158100</v>
      </c>
      <c r="M153" s="153">
        <f>M151+M152</f>
        <v>161262</v>
      </c>
      <c r="N153" s="24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3">
        <f aca="true" t="shared" si="351" ref="AZ153:CI153">AZ151+AZ152</f>
        <v>12916.666666666664</v>
      </c>
      <c r="BA153" s="23">
        <f t="shared" si="351"/>
        <v>12916.666666666664</v>
      </c>
      <c r="BB153" s="23">
        <f t="shared" si="351"/>
        <v>12916.666666666664</v>
      </c>
      <c r="BC153" s="23">
        <f t="shared" si="351"/>
        <v>12916.666666666664</v>
      </c>
      <c r="BD153" s="23">
        <f t="shared" si="351"/>
        <v>12916.666666666664</v>
      </c>
      <c r="BE153" s="23">
        <f t="shared" si="351"/>
        <v>12916.666666666664</v>
      </c>
      <c r="BF153" s="23">
        <f t="shared" si="351"/>
        <v>12916.666666666664</v>
      </c>
      <c r="BG153" s="23">
        <f t="shared" si="351"/>
        <v>12916.666666666664</v>
      </c>
      <c r="BH153" s="23">
        <f t="shared" si="351"/>
        <v>12916.666666666664</v>
      </c>
      <c r="BI153" s="23">
        <f t="shared" si="351"/>
        <v>12916.666666666664</v>
      </c>
      <c r="BJ153" s="23">
        <f t="shared" si="351"/>
        <v>12916.666666666664</v>
      </c>
      <c r="BK153" s="23">
        <f t="shared" si="351"/>
        <v>12916.666666666664</v>
      </c>
      <c r="BL153" s="23">
        <f t="shared" si="351"/>
        <v>13175</v>
      </c>
      <c r="BM153" s="23">
        <f t="shared" si="351"/>
        <v>13175</v>
      </c>
      <c r="BN153" s="23">
        <f t="shared" si="351"/>
        <v>13175</v>
      </c>
      <c r="BO153" s="23">
        <f t="shared" si="351"/>
        <v>13175</v>
      </c>
      <c r="BP153" s="23">
        <f t="shared" si="351"/>
        <v>13175</v>
      </c>
      <c r="BQ153" s="23">
        <f t="shared" si="351"/>
        <v>13175</v>
      </c>
      <c r="BR153" s="23">
        <f t="shared" si="351"/>
        <v>13175</v>
      </c>
      <c r="BS153" s="23">
        <f t="shared" si="351"/>
        <v>13175</v>
      </c>
      <c r="BT153" s="23">
        <f t="shared" si="351"/>
        <v>13175</v>
      </c>
      <c r="BU153" s="23">
        <f t="shared" si="351"/>
        <v>13175</v>
      </c>
      <c r="BV153" s="23">
        <f t="shared" si="351"/>
        <v>13175</v>
      </c>
      <c r="BW153" s="23">
        <f t="shared" si="351"/>
        <v>13175</v>
      </c>
      <c r="BX153" s="23">
        <f t="shared" si="351"/>
        <v>13438.5</v>
      </c>
      <c r="BY153" s="23">
        <f t="shared" si="351"/>
        <v>13438.5</v>
      </c>
      <c r="BZ153" s="23">
        <f t="shared" si="351"/>
        <v>13438.5</v>
      </c>
      <c r="CA153" s="23">
        <f t="shared" si="351"/>
        <v>13438.5</v>
      </c>
      <c r="CB153" s="23">
        <f t="shared" si="351"/>
        <v>13438.5</v>
      </c>
      <c r="CC153" s="23">
        <f t="shared" si="351"/>
        <v>13438.5</v>
      </c>
      <c r="CD153" s="23">
        <f t="shared" si="351"/>
        <v>13438.5</v>
      </c>
      <c r="CE153" s="23">
        <f t="shared" si="351"/>
        <v>13438.5</v>
      </c>
      <c r="CF153" s="23">
        <f t="shared" si="351"/>
        <v>13438.5</v>
      </c>
      <c r="CG153" s="23">
        <f t="shared" si="351"/>
        <v>13438.5</v>
      </c>
      <c r="CH153" s="23">
        <f t="shared" si="351"/>
        <v>13438.5</v>
      </c>
      <c r="CI153" s="112">
        <f t="shared" si="351"/>
        <v>13438.5</v>
      </c>
    </row>
    <row r="154" spans="1:87" ht="12.75">
      <c r="A154" s="32"/>
      <c r="B154" s="32"/>
      <c r="C154" s="26"/>
      <c r="D154" s="26"/>
      <c r="E154" s="246"/>
      <c r="F154" s="111"/>
      <c r="G154" s="23"/>
      <c r="H154" s="23"/>
      <c r="I154" s="23"/>
      <c r="J154" s="246"/>
      <c r="K154" s="158"/>
      <c r="L154" s="153"/>
      <c r="M154" s="153"/>
      <c r="N154" s="24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112"/>
    </row>
    <row r="155" spans="1:87" ht="12.75">
      <c r="A155" s="271" t="s">
        <v>399</v>
      </c>
      <c r="B155" s="32"/>
      <c r="C155" s="26"/>
      <c r="D155" s="26"/>
      <c r="E155" s="246"/>
      <c r="F155" s="111"/>
      <c r="G155" s="23"/>
      <c r="H155" s="23"/>
      <c r="I155" s="23"/>
      <c r="J155" s="246"/>
      <c r="K155" s="32"/>
      <c r="L155" s="26"/>
      <c r="M155" s="26"/>
      <c r="N155" s="24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112"/>
    </row>
    <row r="156" spans="1:114" s="52" customFormat="1" ht="12.75" customHeight="1">
      <c r="A156" s="38" t="s">
        <v>528</v>
      </c>
      <c r="B156" s="236">
        <v>1</v>
      </c>
      <c r="C156" s="237">
        <v>1</v>
      </c>
      <c r="D156" s="237">
        <v>1</v>
      </c>
      <c r="E156" s="248"/>
      <c r="F156" s="213">
        <f>F97</f>
        <v>40000</v>
      </c>
      <c r="G156" s="116">
        <f>F156</f>
        <v>40000</v>
      </c>
      <c r="H156" s="116">
        <f>G156*(1+C4)</f>
        <v>40800</v>
      </c>
      <c r="I156" s="116">
        <f>H156*(1+D4)</f>
        <v>41616</v>
      </c>
      <c r="J156" s="248"/>
      <c r="K156" s="214">
        <f>SUM(AZ156:BK156)</f>
        <v>40000</v>
      </c>
      <c r="L156" s="215">
        <f>SUM(BL156:BW156)</f>
        <v>40800</v>
      </c>
      <c r="M156" s="215">
        <f>SUM(BX156:CI156)</f>
        <v>41616</v>
      </c>
      <c r="N156" s="248"/>
      <c r="O156" s="52">
        <f>$B$156</f>
        <v>1</v>
      </c>
      <c r="P156" s="52">
        <f aca="true" t="shared" si="352" ref="P156:Z156">$B$156</f>
        <v>1</v>
      </c>
      <c r="Q156" s="52">
        <f t="shared" si="352"/>
        <v>1</v>
      </c>
      <c r="R156" s="52">
        <f t="shared" si="352"/>
        <v>1</v>
      </c>
      <c r="S156" s="52">
        <f t="shared" si="352"/>
        <v>1</v>
      </c>
      <c r="T156" s="52">
        <f t="shared" si="352"/>
        <v>1</v>
      </c>
      <c r="U156" s="52">
        <f t="shared" si="352"/>
        <v>1</v>
      </c>
      <c r="V156" s="52">
        <f t="shared" si="352"/>
        <v>1</v>
      </c>
      <c r="W156" s="52">
        <f t="shared" si="352"/>
        <v>1</v>
      </c>
      <c r="X156" s="52">
        <f t="shared" si="352"/>
        <v>1</v>
      </c>
      <c r="Y156" s="52">
        <f t="shared" si="352"/>
        <v>1</v>
      </c>
      <c r="Z156" s="52">
        <f t="shared" si="352"/>
        <v>1</v>
      </c>
      <c r="AA156" s="52">
        <f>$C$156</f>
        <v>1</v>
      </c>
      <c r="AB156" s="52">
        <f aca="true" t="shared" si="353" ref="AB156:AL156">$C$156</f>
        <v>1</v>
      </c>
      <c r="AC156" s="52">
        <f t="shared" si="353"/>
        <v>1</v>
      </c>
      <c r="AD156" s="52">
        <f t="shared" si="353"/>
        <v>1</v>
      </c>
      <c r="AE156" s="52">
        <f t="shared" si="353"/>
        <v>1</v>
      </c>
      <c r="AF156" s="52">
        <f t="shared" si="353"/>
        <v>1</v>
      </c>
      <c r="AG156" s="52">
        <f t="shared" si="353"/>
        <v>1</v>
      </c>
      <c r="AH156" s="52">
        <f t="shared" si="353"/>
        <v>1</v>
      </c>
      <c r="AI156" s="52">
        <f t="shared" si="353"/>
        <v>1</v>
      </c>
      <c r="AJ156" s="52">
        <f t="shared" si="353"/>
        <v>1</v>
      </c>
      <c r="AK156" s="52">
        <f t="shared" si="353"/>
        <v>1</v>
      </c>
      <c r="AL156" s="52">
        <f t="shared" si="353"/>
        <v>1</v>
      </c>
      <c r="AM156" s="52">
        <f>$D$156</f>
        <v>1</v>
      </c>
      <c r="AN156" s="52">
        <f aca="true" t="shared" si="354" ref="AN156:AX156">$D$156</f>
        <v>1</v>
      </c>
      <c r="AO156" s="52">
        <f t="shared" si="354"/>
        <v>1</v>
      </c>
      <c r="AP156" s="52">
        <f t="shared" si="354"/>
        <v>1</v>
      </c>
      <c r="AQ156" s="52">
        <f t="shared" si="354"/>
        <v>1</v>
      </c>
      <c r="AR156" s="52">
        <f t="shared" si="354"/>
        <v>1</v>
      </c>
      <c r="AS156" s="52">
        <f t="shared" si="354"/>
        <v>1</v>
      </c>
      <c r="AT156" s="52">
        <f t="shared" si="354"/>
        <v>1</v>
      </c>
      <c r="AU156" s="52">
        <f t="shared" si="354"/>
        <v>1</v>
      </c>
      <c r="AV156" s="52">
        <f t="shared" si="354"/>
        <v>1</v>
      </c>
      <c r="AW156" s="52">
        <f t="shared" si="354"/>
        <v>1</v>
      </c>
      <c r="AX156" s="52">
        <f t="shared" si="354"/>
        <v>1</v>
      </c>
      <c r="AZ156" s="116">
        <f>($G$156/12)*O156</f>
        <v>3333.3333333333335</v>
      </c>
      <c r="BA156" s="116">
        <f aca="true" t="shared" si="355" ref="BA156:BK156">($G$156/12)*P156</f>
        <v>3333.3333333333335</v>
      </c>
      <c r="BB156" s="116">
        <f t="shared" si="355"/>
        <v>3333.3333333333335</v>
      </c>
      <c r="BC156" s="116">
        <f t="shared" si="355"/>
        <v>3333.3333333333335</v>
      </c>
      <c r="BD156" s="116">
        <f t="shared" si="355"/>
        <v>3333.3333333333335</v>
      </c>
      <c r="BE156" s="116">
        <f t="shared" si="355"/>
        <v>3333.3333333333335</v>
      </c>
      <c r="BF156" s="116">
        <f t="shared" si="355"/>
        <v>3333.3333333333335</v>
      </c>
      <c r="BG156" s="116">
        <f t="shared" si="355"/>
        <v>3333.3333333333335</v>
      </c>
      <c r="BH156" s="116">
        <f t="shared" si="355"/>
        <v>3333.3333333333335</v>
      </c>
      <c r="BI156" s="116">
        <f t="shared" si="355"/>
        <v>3333.3333333333335</v>
      </c>
      <c r="BJ156" s="116">
        <f t="shared" si="355"/>
        <v>3333.3333333333335</v>
      </c>
      <c r="BK156" s="116">
        <f t="shared" si="355"/>
        <v>3333.3333333333335</v>
      </c>
      <c r="BL156" s="116">
        <f>($H$156/12)*AA156</f>
        <v>3400</v>
      </c>
      <c r="BM156" s="116">
        <f aca="true" t="shared" si="356" ref="BM156:BW156">($H$156/12)*AB156</f>
        <v>3400</v>
      </c>
      <c r="BN156" s="116">
        <f t="shared" si="356"/>
        <v>3400</v>
      </c>
      <c r="BO156" s="116">
        <f t="shared" si="356"/>
        <v>3400</v>
      </c>
      <c r="BP156" s="116">
        <f t="shared" si="356"/>
        <v>3400</v>
      </c>
      <c r="BQ156" s="116">
        <f t="shared" si="356"/>
        <v>3400</v>
      </c>
      <c r="BR156" s="116">
        <f t="shared" si="356"/>
        <v>3400</v>
      </c>
      <c r="BS156" s="116">
        <f t="shared" si="356"/>
        <v>3400</v>
      </c>
      <c r="BT156" s="116">
        <f t="shared" si="356"/>
        <v>3400</v>
      </c>
      <c r="BU156" s="116">
        <f t="shared" si="356"/>
        <v>3400</v>
      </c>
      <c r="BV156" s="116">
        <f t="shared" si="356"/>
        <v>3400</v>
      </c>
      <c r="BW156" s="116">
        <f t="shared" si="356"/>
        <v>3400</v>
      </c>
      <c r="BX156" s="116">
        <f>($I$156/12)*AM156</f>
        <v>3468</v>
      </c>
      <c r="BY156" s="116">
        <f aca="true" t="shared" si="357" ref="BY156:CI156">($I$156/12)*AN156</f>
        <v>3468</v>
      </c>
      <c r="BZ156" s="116">
        <f t="shared" si="357"/>
        <v>3468</v>
      </c>
      <c r="CA156" s="116">
        <f t="shared" si="357"/>
        <v>3468</v>
      </c>
      <c r="CB156" s="116">
        <f t="shared" si="357"/>
        <v>3468</v>
      </c>
      <c r="CC156" s="116">
        <f t="shared" si="357"/>
        <v>3468</v>
      </c>
      <c r="CD156" s="116">
        <f t="shared" si="357"/>
        <v>3468</v>
      </c>
      <c r="CE156" s="116">
        <f t="shared" si="357"/>
        <v>3468</v>
      </c>
      <c r="CF156" s="116">
        <f t="shared" si="357"/>
        <v>3468</v>
      </c>
      <c r="CG156" s="116">
        <f t="shared" si="357"/>
        <v>3468</v>
      </c>
      <c r="CH156" s="116">
        <f t="shared" si="357"/>
        <v>3468</v>
      </c>
      <c r="CI156" s="119">
        <f t="shared" si="357"/>
        <v>3468</v>
      </c>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row>
    <row r="157" spans="1:114" s="52" customFormat="1" ht="12.75" customHeight="1">
      <c r="A157" s="38" t="s">
        <v>318</v>
      </c>
      <c r="B157" s="38">
        <f>SUM(B156:B156)</f>
        <v>1</v>
      </c>
      <c r="C157" s="52">
        <f>SUM(C156:C156)</f>
        <v>1</v>
      </c>
      <c r="D157" s="52">
        <f>SUM(D156:D156)</f>
        <v>1</v>
      </c>
      <c r="E157" s="248"/>
      <c r="F157" s="118"/>
      <c r="G157" s="116"/>
      <c r="H157" s="116"/>
      <c r="I157" s="116"/>
      <c r="J157" s="248"/>
      <c r="K157" s="214">
        <f>SUM(K156:K156)</f>
        <v>40000</v>
      </c>
      <c r="L157" s="215">
        <f>SUM(L156:L156)</f>
        <v>40800</v>
      </c>
      <c r="M157" s="215">
        <f>SUM(M156:M156)</f>
        <v>41616</v>
      </c>
      <c r="N157" s="248"/>
      <c r="O157" s="52">
        <f aca="true" t="shared" si="358" ref="O157:AX157">SUM(O156:O156)</f>
        <v>1</v>
      </c>
      <c r="P157" s="52">
        <f t="shared" si="358"/>
        <v>1</v>
      </c>
      <c r="Q157" s="52">
        <f t="shared" si="358"/>
        <v>1</v>
      </c>
      <c r="R157" s="52">
        <f t="shared" si="358"/>
        <v>1</v>
      </c>
      <c r="S157" s="52">
        <f t="shared" si="358"/>
        <v>1</v>
      </c>
      <c r="T157" s="52">
        <f t="shared" si="358"/>
        <v>1</v>
      </c>
      <c r="U157" s="52">
        <f t="shared" si="358"/>
        <v>1</v>
      </c>
      <c r="V157" s="52">
        <f t="shared" si="358"/>
        <v>1</v>
      </c>
      <c r="W157" s="52">
        <f t="shared" si="358"/>
        <v>1</v>
      </c>
      <c r="X157" s="52">
        <f t="shared" si="358"/>
        <v>1</v>
      </c>
      <c r="Y157" s="52">
        <f t="shared" si="358"/>
        <v>1</v>
      </c>
      <c r="Z157" s="52">
        <f t="shared" si="358"/>
        <v>1</v>
      </c>
      <c r="AA157" s="52">
        <f t="shared" si="358"/>
        <v>1</v>
      </c>
      <c r="AB157" s="52">
        <f t="shared" si="358"/>
        <v>1</v>
      </c>
      <c r="AC157" s="52">
        <f t="shared" si="358"/>
        <v>1</v>
      </c>
      <c r="AD157" s="52">
        <f t="shared" si="358"/>
        <v>1</v>
      </c>
      <c r="AE157" s="52">
        <f t="shared" si="358"/>
        <v>1</v>
      </c>
      <c r="AF157" s="52">
        <f t="shared" si="358"/>
        <v>1</v>
      </c>
      <c r="AG157" s="52">
        <f t="shared" si="358"/>
        <v>1</v>
      </c>
      <c r="AH157" s="52">
        <f t="shared" si="358"/>
        <v>1</v>
      </c>
      <c r="AI157" s="52">
        <f t="shared" si="358"/>
        <v>1</v>
      </c>
      <c r="AJ157" s="52">
        <f t="shared" si="358"/>
        <v>1</v>
      </c>
      <c r="AK157" s="52">
        <f t="shared" si="358"/>
        <v>1</v>
      </c>
      <c r="AL157" s="52">
        <f t="shared" si="358"/>
        <v>1</v>
      </c>
      <c r="AM157" s="52">
        <f t="shared" si="358"/>
        <v>1</v>
      </c>
      <c r="AN157" s="52">
        <f t="shared" si="358"/>
        <v>1</v>
      </c>
      <c r="AO157" s="52">
        <f t="shared" si="358"/>
        <v>1</v>
      </c>
      <c r="AP157" s="52">
        <f t="shared" si="358"/>
        <v>1</v>
      </c>
      <c r="AQ157" s="52">
        <f t="shared" si="358"/>
        <v>1</v>
      </c>
      <c r="AR157" s="52">
        <f t="shared" si="358"/>
        <v>1</v>
      </c>
      <c r="AS157" s="52">
        <f t="shared" si="358"/>
        <v>1</v>
      </c>
      <c r="AT157" s="52">
        <f t="shared" si="358"/>
        <v>1</v>
      </c>
      <c r="AU157" s="52">
        <f t="shared" si="358"/>
        <v>1</v>
      </c>
      <c r="AV157" s="52">
        <f t="shared" si="358"/>
        <v>1</v>
      </c>
      <c r="AW157" s="52">
        <f t="shared" si="358"/>
        <v>1</v>
      </c>
      <c r="AX157" s="52">
        <f t="shared" si="358"/>
        <v>1</v>
      </c>
      <c r="AZ157" s="116">
        <f aca="true" t="shared" si="359" ref="AZ157:CI157">SUM(AZ156:AZ156)</f>
        <v>3333.3333333333335</v>
      </c>
      <c r="BA157" s="116">
        <f t="shared" si="359"/>
        <v>3333.3333333333335</v>
      </c>
      <c r="BB157" s="116">
        <f t="shared" si="359"/>
        <v>3333.3333333333335</v>
      </c>
      <c r="BC157" s="116">
        <f t="shared" si="359"/>
        <v>3333.3333333333335</v>
      </c>
      <c r="BD157" s="116">
        <f t="shared" si="359"/>
        <v>3333.3333333333335</v>
      </c>
      <c r="BE157" s="116">
        <f t="shared" si="359"/>
        <v>3333.3333333333335</v>
      </c>
      <c r="BF157" s="116">
        <f t="shared" si="359"/>
        <v>3333.3333333333335</v>
      </c>
      <c r="BG157" s="116">
        <f t="shared" si="359"/>
        <v>3333.3333333333335</v>
      </c>
      <c r="BH157" s="116">
        <f t="shared" si="359"/>
        <v>3333.3333333333335</v>
      </c>
      <c r="BI157" s="116">
        <f t="shared" si="359"/>
        <v>3333.3333333333335</v>
      </c>
      <c r="BJ157" s="116">
        <f t="shared" si="359"/>
        <v>3333.3333333333335</v>
      </c>
      <c r="BK157" s="116">
        <f t="shared" si="359"/>
        <v>3333.3333333333335</v>
      </c>
      <c r="BL157" s="116">
        <f t="shared" si="359"/>
        <v>3400</v>
      </c>
      <c r="BM157" s="116">
        <f t="shared" si="359"/>
        <v>3400</v>
      </c>
      <c r="BN157" s="116">
        <f t="shared" si="359"/>
        <v>3400</v>
      </c>
      <c r="BO157" s="116">
        <f t="shared" si="359"/>
        <v>3400</v>
      </c>
      <c r="BP157" s="116">
        <f t="shared" si="359"/>
        <v>3400</v>
      </c>
      <c r="BQ157" s="116">
        <f t="shared" si="359"/>
        <v>3400</v>
      </c>
      <c r="BR157" s="116">
        <f t="shared" si="359"/>
        <v>3400</v>
      </c>
      <c r="BS157" s="116">
        <f t="shared" si="359"/>
        <v>3400</v>
      </c>
      <c r="BT157" s="116">
        <f t="shared" si="359"/>
        <v>3400</v>
      </c>
      <c r="BU157" s="116">
        <f t="shared" si="359"/>
        <v>3400</v>
      </c>
      <c r="BV157" s="116">
        <f t="shared" si="359"/>
        <v>3400</v>
      </c>
      <c r="BW157" s="116">
        <f t="shared" si="359"/>
        <v>3400</v>
      </c>
      <c r="BX157" s="116">
        <f t="shared" si="359"/>
        <v>3468</v>
      </c>
      <c r="BY157" s="116">
        <f t="shared" si="359"/>
        <v>3468</v>
      </c>
      <c r="BZ157" s="116">
        <f t="shared" si="359"/>
        <v>3468</v>
      </c>
      <c r="CA157" s="116">
        <f t="shared" si="359"/>
        <v>3468</v>
      </c>
      <c r="CB157" s="116">
        <f t="shared" si="359"/>
        <v>3468</v>
      </c>
      <c r="CC157" s="116">
        <f t="shared" si="359"/>
        <v>3468</v>
      </c>
      <c r="CD157" s="116">
        <f t="shared" si="359"/>
        <v>3468</v>
      </c>
      <c r="CE157" s="116">
        <f t="shared" si="359"/>
        <v>3468</v>
      </c>
      <c r="CF157" s="116">
        <f t="shared" si="359"/>
        <v>3468</v>
      </c>
      <c r="CG157" s="116">
        <f t="shared" si="359"/>
        <v>3468</v>
      </c>
      <c r="CH157" s="116">
        <f t="shared" si="359"/>
        <v>3468</v>
      </c>
      <c r="CI157" s="119">
        <f t="shared" si="359"/>
        <v>3468</v>
      </c>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row>
    <row r="158" spans="1:114" s="26" customFormat="1" ht="12.75" customHeight="1">
      <c r="A158" s="211" t="s">
        <v>196</v>
      </c>
      <c r="B158" s="32"/>
      <c r="E158" s="246"/>
      <c r="F158" s="111"/>
      <c r="G158" s="23"/>
      <c r="H158" s="23"/>
      <c r="I158" s="23"/>
      <c r="J158" s="246"/>
      <c r="K158" s="158">
        <f>K157*B5</f>
        <v>10000</v>
      </c>
      <c r="L158" s="153">
        <f>L157*C5</f>
        <v>10200</v>
      </c>
      <c r="M158" s="153">
        <f>M157*D5</f>
        <v>10404</v>
      </c>
      <c r="N158" s="246"/>
      <c r="AZ158" s="23">
        <f>AZ157*$B$5</f>
        <v>833.3333333333334</v>
      </c>
      <c r="BA158" s="23">
        <f aca="true" t="shared" si="360" ref="BA158:BK158">BA157*$B$5</f>
        <v>833.3333333333334</v>
      </c>
      <c r="BB158" s="23">
        <f t="shared" si="360"/>
        <v>833.3333333333334</v>
      </c>
      <c r="BC158" s="23">
        <f t="shared" si="360"/>
        <v>833.3333333333334</v>
      </c>
      <c r="BD158" s="23">
        <f t="shared" si="360"/>
        <v>833.3333333333334</v>
      </c>
      <c r="BE158" s="23">
        <f t="shared" si="360"/>
        <v>833.3333333333334</v>
      </c>
      <c r="BF158" s="23">
        <f t="shared" si="360"/>
        <v>833.3333333333334</v>
      </c>
      <c r="BG158" s="23">
        <f t="shared" si="360"/>
        <v>833.3333333333334</v>
      </c>
      <c r="BH158" s="23">
        <f t="shared" si="360"/>
        <v>833.3333333333334</v>
      </c>
      <c r="BI158" s="23">
        <f t="shared" si="360"/>
        <v>833.3333333333334</v>
      </c>
      <c r="BJ158" s="23">
        <f t="shared" si="360"/>
        <v>833.3333333333334</v>
      </c>
      <c r="BK158" s="23">
        <f t="shared" si="360"/>
        <v>833.3333333333334</v>
      </c>
      <c r="BL158" s="23">
        <f>BL157*$C$5</f>
        <v>850</v>
      </c>
      <c r="BM158" s="23">
        <f aca="true" t="shared" si="361" ref="BM158:BW158">BM157*$C$5</f>
        <v>850</v>
      </c>
      <c r="BN158" s="23">
        <f t="shared" si="361"/>
        <v>850</v>
      </c>
      <c r="BO158" s="23">
        <f t="shared" si="361"/>
        <v>850</v>
      </c>
      <c r="BP158" s="23">
        <f t="shared" si="361"/>
        <v>850</v>
      </c>
      <c r="BQ158" s="23">
        <f t="shared" si="361"/>
        <v>850</v>
      </c>
      <c r="BR158" s="23">
        <f t="shared" si="361"/>
        <v>850</v>
      </c>
      <c r="BS158" s="23">
        <f t="shared" si="361"/>
        <v>850</v>
      </c>
      <c r="BT158" s="23">
        <f t="shared" si="361"/>
        <v>850</v>
      </c>
      <c r="BU158" s="23">
        <f t="shared" si="361"/>
        <v>850</v>
      </c>
      <c r="BV158" s="23">
        <f t="shared" si="361"/>
        <v>850</v>
      </c>
      <c r="BW158" s="23">
        <f t="shared" si="361"/>
        <v>850</v>
      </c>
      <c r="BX158" s="23">
        <f>BX157*$D$5</f>
        <v>867</v>
      </c>
      <c r="BY158" s="23">
        <f aca="true" t="shared" si="362" ref="BY158:CI158">BY157*$D$5</f>
        <v>867</v>
      </c>
      <c r="BZ158" s="23">
        <f t="shared" si="362"/>
        <v>867</v>
      </c>
      <c r="CA158" s="23">
        <f t="shared" si="362"/>
        <v>867</v>
      </c>
      <c r="CB158" s="23">
        <f t="shared" si="362"/>
        <v>867</v>
      </c>
      <c r="CC158" s="23">
        <f t="shared" si="362"/>
        <v>867</v>
      </c>
      <c r="CD158" s="23">
        <f t="shared" si="362"/>
        <v>867</v>
      </c>
      <c r="CE158" s="23">
        <f t="shared" si="362"/>
        <v>867</v>
      </c>
      <c r="CF158" s="23">
        <f t="shared" si="362"/>
        <v>867</v>
      </c>
      <c r="CG158" s="23">
        <f t="shared" si="362"/>
        <v>867</v>
      </c>
      <c r="CH158" s="23">
        <f t="shared" si="362"/>
        <v>867</v>
      </c>
      <c r="CI158" s="112">
        <f t="shared" si="362"/>
        <v>867</v>
      </c>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row>
    <row r="159" spans="1:114" s="26" customFormat="1" ht="12.75" customHeight="1" thickBot="1">
      <c r="A159" s="265" t="s">
        <v>341</v>
      </c>
      <c r="B159" s="159"/>
      <c r="C159" s="138"/>
      <c r="D159" s="138"/>
      <c r="E159" s="256"/>
      <c r="F159" s="125"/>
      <c r="G159" s="126"/>
      <c r="H159" s="126"/>
      <c r="I159" s="126"/>
      <c r="J159" s="256"/>
      <c r="K159" s="257">
        <f>K157+K158</f>
        <v>50000</v>
      </c>
      <c r="L159" s="258">
        <f>L157+L158</f>
        <v>51000</v>
      </c>
      <c r="M159" s="258">
        <f>M157+M158</f>
        <v>52020</v>
      </c>
      <c r="N159" s="256"/>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26">
        <f aca="true" t="shared" si="363" ref="AZ159:CI159">AZ157+AZ158</f>
        <v>4166.666666666667</v>
      </c>
      <c r="BA159" s="126">
        <f t="shared" si="363"/>
        <v>4166.666666666667</v>
      </c>
      <c r="BB159" s="126">
        <f t="shared" si="363"/>
        <v>4166.666666666667</v>
      </c>
      <c r="BC159" s="126">
        <f t="shared" si="363"/>
        <v>4166.666666666667</v>
      </c>
      <c r="BD159" s="126">
        <f t="shared" si="363"/>
        <v>4166.666666666667</v>
      </c>
      <c r="BE159" s="126">
        <f t="shared" si="363"/>
        <v>4166.666666666667</v>
      </c>
      <c r="BF159" s="126">
        <f t="shared" si="363"/>
        <v>4166.666666666667</v>
      </c>
      <c r="BG159" s="126">
        <f t="shared" si="363"/>
        <v>4166.666666666667</v>
      </c>
      <c r="BH159" s="126">
        <f t="shared" si="363"/>
        <v>4166.666666666667</v>
      </c>
      <c r="BI159" s="126">
        <f t="shared" si="363"/>
        <v>4166.666666666667</v>
      </c>
      <c r="BJ159" s="126">
        <f t="shared" si="363"/>
        <v>4166.666666666667</v>
      </c>
      <c r="BK159" s="126">
        <f t="shared" si="363"/>
        <v>4166.666666666667</v>
      </c>
      <c r="BL159" s="126">
        <f t="shared" si="363"/>
        <v>4250</v>
      </c>
      <c r="BM159" s="126">
        <f t="shared" si="363"/>
        <v>4250</v>
      </c>
      <c r="BN159" s="126">
        <f t="shared" si="363"/>
        <v>4250</v>
      </c>
      <c r="BO159" s="126">
        <f t="shared" si="363"/>
        <v>4250</v>
      </c>
      <c r="BP159" s="126">
        <f t="shared" si="363"/>
        <v>4250</v>
      </c>
      <c r="BQ159" s="126">
        <f t="shared" si="363"/>
        <v>4250</v>
      </c>
      <c r="BR159" s="126">
        <f t="shared" si="363"/>
        <v>4250</v>
      </c>
      <c r="BS159" s="126">
        <f t="shared" si="363"/>
        <v>4250</v>
      </c>
      <c r="BT159" s="126">
        <f t="shared" si="363"/>
        <v>4250</v>
      </c>
      <c r="BU159" s="126">
        <f t="shared" si="363"/>
        <v>4250</v>
      </c>
      <c r="BV159" s="126">
        <f t="shared" si="363"/>
        <v>4250</v>
      </c>
      <c r="BW159" s="126">
        <f t="shared" si="363"/>
        <v>4250</v>
      </c>
      <c r="BX159" s="126">
        <f t="shared" si="363"/>
        <v>4335</v>
      </c>
      <c r="BY159" s="126">
        <f t="shared" si="363"/>
        <v>4335</v>
      </c>
      <c r="BZ159" s="126">
        <f t="shared" si="363"/>
        <v>4335</v>
      </c>
      <c r="CA159" s="126">
        <f t="shared" si="363"/>
        <v>4335</v>
      </c>
      <c r="CB159" s="126">
        <f t="shared" si="363"/>
        <v>4335</v>
      </c>
      <c r="CC159" s="126">
        <f t="shared" si="363"/>
        <v>4335</v>
      </c>
      <c r="CD159" s="126">
        <f t="shared" si="363"/>
        <v>4335</v>
      </c>
      <c r="CE159" s="126">
        <f t="shared" si="363"/>
        <v>4335</v>
      </c>
      <c r="CF159" s="126">
        <f t="shared" si="363"/>
        <v>4335</v>
      </c>
      <c r="CG159" s="126">
        <f t="shared" si="363"/>
        <v>4335</v>
      </c>
      <c r="CH159" s="126">
        <f t="shared" si="363"/>
        <v>4335</v>
      </c>
      <c r="CI159" s="127">
        <f t="shared" si="363"/>
        <v>4335</v>
      </c>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row>
    <row r="160" spans="6:87" s="45" customFormat="1" ht="12.75" customHeight="1">
      <c r="F160" s="183"/>
      <c r="G160" s="183"/>
      <c r="H160" s="183"/>
      <c r="I160" s="183"/>
      <c r="AZ160" s="183"/>
      <c r="BA160" s="183"/>
      <c r="BB160" s="183"/>
      <c r="BC160" s="183"/>
      <c r="BD160" s="183"/>
      <c r="BE160" s="183"/>
      <c r="BF160" s="183"/>
      <c r="BG160" s="183"/>
      <c r="BH160" s="183"/>
      <c r="BI160" s="183"/>
      <c r="BJ160" s="183"/>
      <c r="BK160" s="183"/>
      <c r="BL160" s="183"/>
      <c r="BM160" s="183"/>
      <c r="BN160" s="183"/>
      <c r="BO160" s="183"/>
      <c r="BP160" s="183"/>
      <c r="BQ160" s="183"/>
      <c r="BR160" s="183"/>
      <c r="BS160" s="183"/>
      <c r="BT160" s="183"/>
      <c r="BU160" s="183"/>
      <c r="BV160" s="183"/>
      <c r="BW160" s="183"/>
      <c r="BX160" s="183"/>
      <c r="BY160" s="183"/>
      <c r="BZ160" s="183"/>
      <c r="CA160" s="183"/>
      <c r="CB160" s="183"/>
      <c r="CC160" s="183"/>
      <c r="CD160" s="183"/>
      <c r="CE160" s="183"/>
      <c r="CF160" s="183"/>
      <c r="CG160" s="183"/>
      <c r="CH160" s="183"/>
      <c r="CI160" s="183"/>
    </row>
  </sheetData>
  <printOptions/>
  <pageMargins left="0.75" right="0.75" top="1" bottom="1" header="0.5" footer="0.5"/>
  <pageSetup orientation="landscape" scale="75"/>
  <headerFooter alignWithMargins="0">
    <oddHeader>&amp;C&amp;A&amp;RPage &amp;P</oddHeader>
  </headerFooter>
</worksheet>
</file>

<file path=xl/worksheets/sheet3.xml><?xml version="1.0" encoding="utf-8"?>
<worksheet xmlns="http://schemas.openxmlformats.org/spreadsheetml/2006/main" xmlns:r="http://schemas.openxmlformats.org/officeDocument/2006/relationships">
  <dimension ref="A2:BA83"/>
  <sheetViews>
    <sheetView zoomScale="110" zoomScaleNormal="110" workbookViewId="0" topLeftCell="A1">
      <selection activeCell="D36" sqref="D36"/>
    </sheetView>
  </sheetViews>
  <sheetFormatPr defaultColWidth="8.8515625" defaultRowHeight="12.75"/>
  <cols>
    <col min="1" max="1" width="26.8515625" style="30" bestFit="1" customWidth="1"/>
    <col min="2" max="2" width="10.00390625" style="30" bestFit="1" customWidth="1"/>
    <col min="3" max="4" width="10.28125" style="30" bestFit="1" customWidth="1"/>
    <col min="5" max="5" width="10.28125" style="30" customWidth="1"/>
    <col min="6" max="7" width="11.28125" style="30" bestFit="1" customWidth="1"/>
    <col min="8" max="13" width="11.00390625" style="30" bestFit="1" customWidth="1"/>
    <col min="14" max="24" width="11.28125" style="30" bestFit="1" customWidth="1"/>
    <col min="25" max="25" width="10.7109375" style="30" customWidth="1"/>
    <col min="26" max="28" width="11.28125" style="30" bestFit="1" customWidth="1"/>
    <col min="29" max="29" width="12.28125" style="30" customWidth="1"/>
    <col min="30" max="37" width="11.28125" style="30" bestFit="1" customWidth="1"/>
    <col min="38" max="38" width="11.140625" style="30" bestFit="1" customWidth="1"/>
    <col min="39" max="39" width="14.140625" style="30" customWidth="1"/>
    <col min="40" max="40" width="11.140625" style="30" bestFit="1" customWidth="1"/>
    <col min="41" max="41" width="15.28125" style="30" customWidth="1"/>
    <col min="42" max="50" width="11.140625" style="30" bestFit="1" customWidth="1"/>
    <col min="51" max="51" width="11.00390625" style="30" customWidth="1"/>
    <col min="52" max="52" width="11.140625" style="30" bestFit="1" customWidth="1"/>
    <col min="53" max="53" width="13.421875" style="30" customWidth="1"/>
    <col min="54" max="54" width="10.8515625" style="30" customWidth="1"/>
    <col min="55" max="55" width="11.140625" style="30" bestFit="1" customWidth="1"/>
    <col min="56" max="60" width="10.140625" style="30" bestFit="1" customWidth="1"/>
    <col min="61" max="61" width="11.140625" style="30" bestFit="1" customWidth="1"/>
    <col min="62" max="68" width="10.140625" style="30" bestFit="1" customWidth="1"/>
    <col min="69" max="16384" width="8.8515625" style="30" customWidth="1"/>
  </cols>
  <sheetData>
    <row r="1" ht="13.5" thickBot="1"/>
    <row r="2" spans="1:5" ht="12.75">
      <c r="A2" s="344" t="s">
        <v>180</v>
      </c>
      <c r="B2" s="345"/>
      <c r="C2" s="72" t="s">
        <v>319</v>
      </c>
      <c r="D2" s="72" t="s">
        <v>320</v>
      </c>
      <c r="E2" s="73" t="s">
        <v>321</v>
      </c>
    </row>
    <row r="3" spans="3:6" ht="12.75">
      <c r="C3" s="44"/>
      <c r="D3" s="44"/>
      <c r="E3" s="31"/>
      <c r="F3" s="44"/>
    </row>
    <row r="4" spans="1:6" ht="12.75">
      <c r="A4" s="346" t="s">
        <v>194</v>
      </c>
      <c r="B4" s="347"/>
      <c r="C4" s="46"/>
      <c r="D4" s="36"/>
      <c r="E4" s="13"/>
      <c r="F4" s="47"/>
    </row>
    <row r="5" spans="1:5" ht="12.75">
      <c r="A5" s="14" t="s">
        <v>198</v>
      </c>
      <c r="B5" s="48"/>
      <c r="C5" s="48">
        <f>M80</f>
        <v>1988495.0526315789</v>
      </c>
      <c r="D5" s="48">
        <f>Y80</f>
        <v>5787423.22105263</v>
      </c>
      <c r="E5" s="15">
        <f>AK80</f>
        <v>9972955.799999997</v>
      </c>
    </row>
    <row r="6" spans="1:5" ht="12.75">
      <c r="A6" s="16"/>
      <c r="B6" s="48"/>
      <c r="C6" s="48"/>
      <c r="D6" s="17">
        <f>(D5-C5)/C5</f>
        <v>1.9104539201108601</v>
      </c>
      <c r="E6" s="18">
        <f>(E5-D5)/D5</f>
        <v>0.7232117678420091</v>
      </c>
    </row>
    <row r="7" spans="1:5" ht="12.75">
      <c r="A7" s="16"/>
      <c r="B7" s="48"/>
      <c r="C7" s="48"/>
      <c r="D7" s="17"/>
      <c r="E7" s="18"/>
    </row>
    <row r="8" spans="1:5" ht="12.75">
      <c r="A8" s="24" t="s">
        <v>341</v>
      </c>
      <c r="B8" s="48"/>
      <c r="C8" s="48">
        <f>C5</f>
        <v>1988495.0526315789</v>
      </c>
      <c r="D8" s="48">
        <f>D5</f>
        <v>5787423.22105263</v>
      </c>
      <c r="E8" s="15">
        <f>E5</f>
        <v>9972955.799999997</v>
      </c>
    </row>
    <row r="9" spans="1:5" ht="13.5" thickBot="1">
      <c r="A9" s="19"/>
      <c r="B9" s="20"/>
      <c r="C9" s="20"/>
      <c r="D9" s="20"/>
      <c r="E9" s="21"/>
    </row>
    <row r="10" ht="13.5" thickBot="1"/>
    <row r="11" spans="3:4" ht="13.5" thickBot="1">
      <c r="C11" s="65"/>
      <c r="D11" s="30" t="s">
        <v>181</v>
      </c>
    </row>
    <row r="12" ht="13.5" thickBot="1"/>
    <row r="13" spans="1:51" ht="12.75">
      <c r="A13" s="70" t="s">
        <v>197</v>
      </c>
      <c r="B13" s="71"/>
      <c r="C13" s="72" t="s">
        <v>319</v>
      </c>
      <c r="D13" s="72" t="s">
        <v>320</v>
      </c>
      <c r="E13" s="73" t="s">
        <v>321</v>
      </c>
      <c r="F13" s="63" t="s">
        <v>182</v>
      </c>
      <c r="O13" s="48"/>
      <c r="AA13" s="48"/>
      <c r="AM13" s="48"/>
      <c r="AY13" s="48"/>
    </row>
    <row r="14" spans="1:51" ht="12.75">
      <c r="A14" s="16"/>
      <c r="B14" s="23"/>
      <c r="C14" s="48"/>
      <c r="D14" s="48"/>
      <c r="E14" s="15"/>
      <c r="O14" s="48"/>
      <c r="AA14" s="48"/>
      <c r="AM14" s="48"/>
      <c r="AY14" s="48"/>
    </row>
    <row r="15" spans="1:51" ht="12.75">
      <c r="A15" s="24" t="s">
        <v>183</v>
      </c>
      <c r="B15" s="23"/>
      <c r="C15" s="48"/>
      <c r="D15" s="48"/>
      <c r="E15" s="15"/>
      <c r="O15" s="48"/>
      <c r="AA15" s="48"/>
      <c r="AM15" s="48"/>
      <c r="AY15" s="48"/>
    </row>
    <row r="16" spans="1:51" ht="12.75">
      <c r="A16" s="16" t="s">
        <v>184</v>
      </c>
      <c r="B16" s="23"/>
      <c r="C16" s="66">
        <v>5000000</v>
      </c>
      <c r="D16" s="66">
        <v>5000000</v>
      </c>
      <c r="E16" s="67">
        <v>5000000</v>
      </c>
      <c r="O16" s="48"/>
      <c r="AA16" s="48"/>
      <c r="AM16" s="48"/>
      <c r="AY16" s="48"/>
    </row>
    <row r="17" spans="1:51" ht="12.75">
      <c r="A17" s="16" t="s">
        <v>185</v>
      </c>
      <c r="B17" s="23"/>
      <c r="C17" s="68">
        <v>0.8</v>
      </c>
      <c r="D17" s="68">
        <v>0.8</v>
      </c>
      <c r="E17" s="69">
        <v>0.8</v>
      </c>
      <c r="F17" s="30" t="s">
        <v>9</v>
      </c>
      <c r="O17" s="48"/>
      <c r="AA17" s="48"/>
      <c r="AM17" s="48"/>
      <c r="AY17" s="48"/>
    </row>
    <row r="18" spans="1:51" ht="12.75">
      <c r="A18" s="16" t="s">
        <v>186</v>
      </c>
      <c r="B18" s="23"/>
      <c r="C18" s="8">
        <f>'Unique Visitor Calculations'!D15</f>
        <v>0.24385964912280703</v>
      </c>
      <c r="D18" s="8">
        <f>'Unique Visitor Calculations'!D16</f>
        <v>0.48771929824561405</v>
      </c>
      <c r="E18" s="9">
        <f>'Unique Visitor Calculations'!D17</f>
        <v>0.731578947368421</v>
      </c>
      <c r="F18" s="30" t="s">
        <v>187</v>
      </c>
      <c r="O18" s="48"/>
      <c r="AA18" s="48"/>
      <c r="AM18" s="48"/>
      <c r="AY18" s="48"/>
    </row>
    <row r="19" spans="1:51" ht="12.75">
      <c r="A19" s="16"/>
      <c r="B19" s="23"/>
      <c r="C19" s="48"/>
      <c r="D19" s="48"/>
      <c r="E19" s="15"/>
      <c r="F19" s="342" t="s">
        <v>229</v>
      </c>
      <c r="O19" s="48"/>
      <c r="AA19" s="48"/>
      <c r="AM19" s="48"/>
      <c r="AY19" s="48"/>
    </row>
    <row r="20" spans="1:51" ht="12.75">
      <c r="A20" s="24" t="s">
        <v>340</v>
      </c>
      <c r="B20" s="10"/>
      <c r="C20" s="48"/>
      <c r="D20" s="48"/>
      <c r="E20" s="15"/>
      <c r="O20" s="48"/>
      <c r="AA20" s="48"/>
      <c r="AM20" s="48"/>
      <c r="AY20" s="48"/>
    </row>
    <row r="21" spans="1:51" ht="12.75">
      <c r="A21" s="16" t="s">
        <v>138</v>
      </c>
      <c r="B21" s="10"/>
      <c r="C21" s="48">
        <v>0</v>
      </c>
      <c r="D21" s="48"/>
      <c r="E21" s="15"/>
      <c r="O21" s="48"/>
      <c r="AA21" s="48"/>
      <c r="AM21" s="48"/>
      <c r="AY21" s="48"/>
    </row>
    <row r="22" spans="1:51" ht="12.75">
      <c r="A22" s="16" t="s">
        <v>139</v>
      </c>
      <c r="B22" s="10"/>
      <c r="C22" s="48">
        <f>C16*C17*C18</f>
        <v>975438.5964912281</v>
      </c>
      <c r="D22" s="48">
        <f>D16*D17*D18</f>
        <v>1950877.1929824562</v>
      </c>
      <c r="E22" s="15">
        <f>E16*E17*E18</f>
        <v>2926315.789473684</v>
      </c>
      <c r="O22" s="48"/>
      <c r="AA22" s="48"/>
      <c r="AM22" s="48"/>
      <c r="AY22" s="48"/>
    </row>
    <row r="23" spans="1:51" ht="12.75">
      <c r="A23" s="16" t="s">
        <v>150</v>
      </c>
      <c r="B23" s="11"/>
      <c r="C23" s="66">
        <v>12</v>
      </c>
      <c r="D23" s="66">
        <v>12</v>
      </c>
      <c r="E23" s="67">
        <v>12</v>
      </c>
      <c r="F23" s="30" t="s">
        <v>42</v>
      </c>
      <c r="O23" s="48"/>
      <c r="AA23" s="48"/>
      <c r="AM23" s="48"/>
      <c r="AY23" s="48"/>
    </row>
    <row r="24" spans="1:51" ht="12.75">
      <c r="A24" s="16"/>
      <c r="B24" s="11"/>
      <c r="C24" s="48"/>
      <c r="D24" s="48"/>
      <c r="E24" s="15"/>
      <c r="O24" s="48"/>
      <c r="AA24" s="48"/>
      <c r="AM24" s="48"/>
      <c r="AY24" s="48"/>
    </row>
    <row r="25" spans="1:51" ht="12.75">
      <c r="A25" s="24" t="s">
        <v>10</v>
      </c>
      <c r="B25" s="23"/>
      <c r="C25" s="48"/>
      <c r="D25" s="48"/>
      <c r="E25" s="15"/>
      <c r="O25" s="48"/>
      <c r="AA25" s="48"/>
      <c r="AM25" s="48"/>
      <c r="AY25" s="48"/>
    </row>
    <row r="26" spans="1:51" ht="12.75">
      <c r="A26" s="16" t="s">
        <v>141</v>
      </c>
      <c r="B26" s="23"/>
      <c r="C26" s="66">
        <v>3</v>
      </c>
      <c r="D26" s="66">
        <v>3</v>
      </c>
      <c r="E26" s="67">
        <v>3</v>
      </c>
      <c r="O26" s="48"/>
      <c r="AA26" s="48"/>
      <c r="AM26" s="48"/>
      <c r="AY26" s="48"/>
    </row>
    <row r="27" spans="1:51" ht="12.75">
      <c r="A27" s="16" t="s">
        <v>140</v>
      </c>
      <c r="B27" s="12"/>
      <c r="C27" s="74">
        <v>12</v>
      </c>
      <c r="D27" s="74">
        <v>12</v>
      </c>
      <c r="E27" s="75">
        <v>12</v>
      </c>
      <c r="F27" s="30" t="s">
        <v>43</v>
      </c>
      <c r="H27" s="10"/>
      <c r="O27" s="48"/>
      <c r="AA27" s="48"/>
      <c r="AM27" s="48"/>
      <c r="AY27" s="48"/>
    </row>
    <row r="28" spans="1:51" ht="12.75">
      <c r="A28" s="16" t="s">
        <v>230</v>
      </c>
      <c r="B28" s="23"/>
      <c r="C28" s="76">
        <v>0.5</v>
      </c>
      <c r="D28" s="76">
        <v>0.55</v>
      </c>
      <c r="E28" s="69">
        <v>0.6</v>
      </c>
      <c r="O28" s="48"/>
      <c r="AA28" s="48"/>
      <c r="AM28" s="48"/>
      <c r="AY28" s="48"/>
    </row>
    <row r="29" spans="1:51" ht="12.75">
      <c r="A29" s="5"/>
      <c r="B29" s="12"/>
      <c r="C29" s="48"/>
      <c r="D29" s="48"/>
      <c r="E29" s="15"/>
      <c r="H29" s="6"/>
      <c r="I29" s="10"/>
      <c r="O29" s="48"/>
      <c r="AA29" s="48"/>
      <c r="AM29" s="48"/>
      <c r="AY29" s="48"/>
    </row>
    <row r="30" spans="1:51" ht="12.75">
      <c r="A30" s="24" t="s">
        <v>44</v>
      </c>
      <c r="B30" s="12"/>
      <c r="C30" s="48"/>
      <c r="D30" s="48"/>
      <c r="E30" s="15"/>
      <c r="H30" s="6"/>
      <c r="I30" s="10"/>
      <c r="O30" s="48"/>
      <c r="AA30" s="48"/>
      <c r="AM30" s="48"/>
      <c r="AY30" s="48"/>
    </row>
    <row r="31" spans="1:51" ht="12.75">
      <c r="A31" s="16" t="s">
        <v>191</v>
      </c>
      <c r="B31" s="12"/>
      <c r="C31" s="74">
        <v>4.5</v>
      </c>
      <c r="D31" s="74">
        <v>4.5</v>
      </c>
      <c r="E31" s="75">
        <v>4.5</v>
      </c>
      <c r="F31" s="30" t="s">
        <v>43</v>
      </c>
      <c r="H31" s="6"/>
      <c r="I31" s="10"/>
      <c r="O31" s="48"/>
      <c r="AA31" s="48"/>
      <c r="AM31" s="48"/>
      <c r="AY31" s="48"/>
    </row>
    <row r="32" spans="1:51" ht="12.75">
      <c r="A32" s="16" t="s">
        <v>230</v>
      </c>
      <c r="B32" s="12"/>
      <c r="C32" s="76">
        <v>0.2</v>
      </c>
      <c r="D32" s="76">
        <v>0.17</v>
      </c>
      <c r="E32" s="69">
        <v>0.14</v>
      </c>
      <c r="H32" s="6"/>
      <c r="I32" s="10"/>
      <c r="O32" s="48"/>
      <c r="AA32" s="48"/>
      <c r="AM32" s="48"/>
      <c r="AY32" s="48"/>
    </row>
    <row r="33" spans="1:51" ht="12.75">
      <c r="A33" s="16"/>
      <c r="B33" s="12"/>
      <c r="C33" s="48"/>
      <c r="D33" s="48"/>
      <c r="E33" s="15"/>
      <c r="H33" s="6"/>
      <c r="I33" s="10"/>
      <c r="O33" s="48"/>
      <c r="AA33" s="48"/>
      <c r="AM33" s="48"/>
      <c r="AY33" s="48"/>
    </row>
    <row r="34" spans="1:51" ht="12.75">
      <c r="A34" s="24" t="s">
        <v>45</v>
      </c>
      <c r="B34" s="12"/>
      <c r="C34" s="48"/>
      <c r="D34" s="48"/>
      <c r="E34" s="15"/>
      <c r="H34" s="6"/>
      <c r="I34" s="10"/>
      <c r="O34" s="48"/>
      <c r="AA34" s="48"/>
      <c r="AM34" s="48"/>
      <c r="AY34" s="48"/>
    </row>
    <row r="35" spans="1:51" ht="12.75">
      <c r="A35" s="16" t="s">
        <v>191</v>
      </c>
      <c r="B35" s="12"/>
      <c r="C35" s="74">
        <v>0.95</v>
      </c>
      <c r="D35" s="74">
        <v>0.95</v>
      </c>
      <c r="E35" s="75">
        <v>0.95</v>
      </c>
      <c r="F35" s="30" t="s">
        <v>43</v>
      </c>
      <c r="H35" s="6"/>
      <c r="I35" s="10"/>
      <c r="O35" s="48"/>
      <c r="AA35" s="48"/>
      <c r="AM35" s="48"/>
      <c r="AY35" s="48"/>
    </row>
    <row r="36" spans="1:51" ht="12.75">
      <c r="A36" s="16" t="s">
        <v>230</v>
      </c>
      <c r="B36" s="12"/>
      <c r="C36" s="76">
        <v>0.25</v>
      </c>
      <c r="D36" s="76">
        <v>0.23</v>
      </c>
      <c r="E36" s="69">
        <v>0.21</v>
      </c>
      <c r="H36" s="6"/>
      <c r="I36" s="10"/>
      <c r="O36" s="48"/>
      <c r="AA36" s="48"/>
      <c r="AM36" s="48"/>
      <c r="AY36" s="48"/>
    </row>
    <row r="37" spans="1:51" ht="12.75">
      <c r="A37" s="5"/>
      <c r="B37" s="12"/>
      <c r="C37" s="17"/>
      <c r="D37" s="17"/>
      <c r="E37" s="15"/>
      <c r="H37" s="6"/>
      <c r="I37" s="10"/>
      <c r="O37" s="48"/>
      <c r="AA37" s="48"/>
      <c r="AM37" s="48"/>
      <c r="AY37" s="48"/>
    </row>
    <row r="38" spans="1:51" ht="12.75">
      <c r="A38" s="24" t="s">
        <v>143</v>
      </c>
      <c r="B38" s="12"/>
      <c r="C38" s="48"/>
      <c r="D38" s="48"/>
      <c r="E38" s="15"/>
      <c r="H38" s="6"/>
      <c r="I38" s="10"/>
      <c r="O38" s="48"/>
      <c r="AA38" s="48"/>
      <c r="AM38" s="48"/>
      <c r="AY38" s="48"/>
    </row>
    <row r="39" spans="1:51" ht="12.75">
      <c r="A39" s="16" t="s">
        <v>141</v>
      </c>
      <c r="B39" s="12"/>
      <c r="C39" s="66">
        <v>3</v>
      </c>
      <c r="D39" s="66">
        <v>3</v>
      </c>
      <c r="E39" s="67">
        <v>3</v>
      </c>
      <c r="H39" s="6"/>
      <c r="I39" s="10"/>
      <c r="O39" s="48"/>
      <c r="AA39" s="48"/>
      <c r="AM39" s="48"/>
      <c r="AY39" s="48"/>
    </row>
    <row r="40" spans="1:51" ht="12.75">
      <c r="A40" s="16" t="s">
        <v>322</v>
      </c>
      <c r="B40" s="7"/>
      <c r="C40" s="77">
        <v>0.2</v>
      </c>
      <c r="D40" s="77">
        <v>0.2</v>
      </c>
      <c r="E40" s="81">
        <v>0.2</v>
      </c>
      <c r="F40" s="30" t="s">
        <v>43</v>
      </c>
      <c r="H40" s="6"/>
      <c r="I40" s="10"/>
      <c r="O40" s="48"/>
      <c r="AA40" s="48"/>
      <c r="AM40" s="48"/>
      <c r="AY40" s="48"/>
    </row>
    <row r="41" spans="1:51" ht="12.75">
      <c r="A41" s="16" t="s">
        <v>268</v>
      </c>
      <c r="B41" s="2"/>
      <c r="C41" s="82">
        <v>0.0036</v>
      </c>
      <c r="D41" s="82">
        <v>0.0036</v>
      </c>
      <c r="E41" s="83">
        <v>0.0036</v>
      </c>
      <c r="F41" s="30" t="s">
        <v>43</v>
      </c>
      <c r="O41" s="48"/>
      <c r="AA41" s="48"/>
      <c r="AM41" s="48"/>
      <c r="AY41" s="48"/>
    </row>
    <row r="42" spans="1:51" ht="12.75">
      <c r="A42" s="16"/>
      <c r="B42" s="2"/>
      <c r="C42" s="2"/>
      <c r="D42" s="2"/>
      <c r="E42" s="3"/>
      <c r="O42" s="48"/>
      <c r="AA42" s="48"/>
      <c r="AM42" s="48"/>
      <c r="AY42" s="48"/>
    </row>
    <row r="43" spans="1:51" ht="12.75">
      <c r="A43" s="24" t="s">
        <v>335</v>
      </c>
      <c r="B43" s="2"/>
      <c r="C43" s="2"/>
      <c r="D43" s="2"/>
      <c r="E43" s="3"/>
      <c r="O43" s="48"/>
      <c r="AA43" s="48"/>
      <c r="AM43" s="48"/>
      <c r="AY43" s="48"/>
    </row>
    <row r="44" spans="1:51" ht="12.75">
      <c r="A44" s="16" t="s">
        <v>151</v>
      </c>
      <c r="B44" s="48"/>
      <c r="C44" s="84">
        <v>1500</v>
      </c>
      <c r="D44" s="84">
        <f>C44*1.05</f>
        <v>1575</v>
      </c>
      <c r="E44" s="85">
        <f>D44*1.05</f>
        <v>1653.75</v>
      </c>
      <c r="O44" s="48"/>
      <c r="AA44" s="48"/>
      <c r="AM44" s="48"/>
      <c r="AY44" s="48"/>
    </row>
    <row r="45" spans="1:51" ht="12.75">
      <c r="A45" s="16" t="s">
        <v>152</v>
      </c>
      <c r="B45" s="48"/>
      <c r="C45" s="86">
        <v>5</v>
      </c>
      <c r="D45" s="86">
        <v>8</v>
      </c>
      <c r="E45" s="87">
        <v>10</v>
      </c>
      <c r="O45" s="48"/>
      <c r="AA45" s="48"/>
      <c r="AM45" s="48"/>
      <c r="AY45" s="48"/>
    </row>
    <row r="46" spans="1:51" ht="12.75">
      <c r="A46" s="16" t="s">
        <v>260</v>
      </c>
      <c r="B46" s="48"/>
      <c r="C46" s="86">
        <v>52</v>
      </c>
      <c r="D46" s="86">
        <v>52</v>
      </c>
      <c r="E46" s="87">
        <v>52</v>
      </c>
      <c r="O46" s="48"/>
      <c r="AA46" s="48"/>
      <c r="AM46" s="48"/>
      <c r="AY46" s="48"/>
    </row>
    <row r="47" spans="1:51" ht="12.75">
      <c r="A47" s="16" t="s">
        <v>261</v>
      </c>
      <c r="B47" s="48"/>
      <c r="C47" s="76">
        <v>0.5</v>
      </c>
      <c r="D47" s="76">
        <v>0.6</v>
      </c>
      <c r="E47" s="69">
        <v>0.7</v>
      </c>
      <c r="O47" s="48"/>
      <c r="AA47" s="48"/>
      <c r="AM47" s="48"/>
      <c r="AY47" s="48"/>
    </row>
    <row r="48" spans="1:51" ht="12.75">
      <c r="A48" s="16"/>
      <c r="B48" s="48"/>
      <c r="C48" s="2"/>
      <c r="D48" s="2"/>
      <c r="E48" s="3"/>
      <c r="O48" s="48"/>
      <c r="AA48" s="48"/>
      <c r="AM48" s="48"/>
      <c r="AY48" s="48"/>
    </row>
    <row r="49" spans="1:51" ht="12.75">
      <c r="A49" s="24" t="s">
        <v>46</v>
      </c>
      <c r="B49" s="48"/>
      <c r="C49" s="2"/>
      <c r="D49" s="2"/>
      <c r="E49" s="3"/>
      <c r="O49" s="48"/>
      <c r="AA49" s="48"/>
      <c r="AM49" s="48"/>
      <c r="AY49" s="48"/>
    </row>
    <row r="50" spans="1:51" ht="12.75">
      <c r="A50" s="16" t="s">
        <v>47</v>
      </c>
      <c r="B50" s="48"/>
      <c r="C50" s="76">
        <v>0.2</v>
      </c>
      <c r="D50" s="76">
        <v>0.2</v>
      </c>
      <c r="E50" s="69">
        <v>0.2</v>
      </c>
      <c r="O50" s="48"/>
      <c r="AA50" s="48"/>
      <c r="AM50" s="48"/>
      <c r="AY50" s="48"/>
    </row>
    <row r="51" spans="1:51" ht="12.75">
      <c r="A51" s="16"/>
      <c r="B51" s="48"/>
      <c r="C51" s="2"/>
      <c r="D51" s="2"/>
      <c r="E51" s="3"/>
      <c r="O51" s="48"/>
      <c r="AA51" s="48"/>
      <c r="AM51" s="48"/>
      <c r="AY51" s="48"/>
    </row>
    <row r="52" spans="1:51" ht="13.5" thickBot="1">
      <c r="A52" s="19"/>
      <c r="B52" s="20"/>
      <c r="C52" s="20"/>
      <c r="D52" s="20"/>
      <c r="E52" s="21"/>
      <c r="O52" s="48"/>
      <c r="AA52" s="48"/>
      <c r="AM52" s="48"/>
      <c r="AY52" s="48"/>
    </row>
    <row r="55" spans="1:31" s="89" customFormat="1" ht="12.75">
      <c r="A55" s="88" t="s">
        <v>127</v>
      </c>
      <c r="G55" s="90"/>
      <c r="S55" s="90"/>
      <c r="AE55" s="90"/>
    </row>
    <row r="56" spans="2:27" ht="12.75">
      <c r="B56" s="30" t="s">
        <v>319</v>
      </c>
      <c r="C56" s="48"/>
      <c r="N56" s="30" t="s">
        <v>320</v>
      </c>
      <c r="O56" s="48"/>
      <c r="Z56" s="30" t="s">
        <v>321</v>
      </c>
      <c r="AA56" s="48"/>
    </row>
    <row r="57" spans="2:37" ht="12.75">
      <c r="B57" s="41" t="s">
        <v>323</v>
      </c>
      <c r="C57" s="41" t="s">
        <v>324</v>
      </c>
      <c r="D57" s="41" t="s">
        <v>325</v>
      </c>
      <c r="E57" s="41" t="s">
        <v>326</v>
      </c>
      <c r="F57" s="41" t="s">
        <v>130</v>
      </c>
      <c r="G57" s="41" t="s">
        <v>131</v>
      </c>
      <c r="H57" s="41" t="s">
        <v>132</v>
      </c>
      <c r="I57" s="41" t="s">
        <v>133</v>
      </c>
      <c r="J57" s="41" t="s">
        <v>134</v>
      </c>
      <c r="K57" s="41" t="s">
        <v>135</v>
      </c>
      <c r="L57" s="41" t="s">
        <v>136</v>
      </c>
      <c r="M57" s="41" t="s">
        <v>137</v>
      </c>
      <c r="N57" s="41" t="s">
        <v>323</v>
      </c>
      <c r="O57" s="41" t="s">
        <v>324</v>
      </c>
      <c r="P57" s="41" t="s">
        <v>325</v>
      </c>
      <c r="Q57" s="41" t="s">
        <v>326</v>
      </c>
      <c r="R57" s="41" t="s">
        <v>130</v>
      </c>
      <c r="S57" s="41" t="s">
        <v>131</v>
      </c>
      <c r="T57" s="41" t="s">
        <v>132</v>
      </c>
      <c r="U57" s="41" t="s">
        <v>133</v>
      </c>
      <c r="V57" s="41" t="s">
        <v>134</v>
      </c>
      <c r="W57" s="41" t="s">
        <v>135</v>
      </c>
      <c r="X57" s="41" t="s">
        <v>136</v>
      </c>
      <c r="Y57" s="41" t="s">
        <v>137</v>
      </c>
      <c r="Z57" s="61" t="s">
        <v>323</v>
      </c>
      <c r="AA57" s="61" t="s">
        <v>324</v>
      </c>
      <c r="AB57" s="61" t="s">
        <v>325</v>
      </c>
      <c r="AC57" s="61" t="s">
        <v>326</v>
      </c>
      <c r="AD57" s="61" t="s">
        <v>130</v>
      </c>
      <c r="AE57" s="61" t="s">
        <v>131</v>
      </c>
      <c r="AF57" s="61" t="s">
        <v>132</v>
      </c>
      <c r="AG57" s="61" t="s">
        <v>133</v>
      </c>
      <c r="AH57" s="61" t="s">
        <v>134</v>
      </c>
      <c r="AI57" s="61" t="s">
        <v>135</v>
      </c>
      <c r="AJ57" s="61" t="s">
        <v>136</v>
      </c>
      <c r="AK57" s="61" t="s">
        <v>137</v>
      </c>
    </row>
    <row r="58" spans="1:37" ht="12.75">
      <c r="A58" s="30" t="s">
        <v>332</v>
      </c>
      <c r="B58" s="30">
        <f>C21+(($M$58-C21)/12)</f>
        <v>81286.54970760235</v>
      </c>
      <c r="C58" s="30">
        <f>B58+(($M$58-C21)/12)</f>
        <v>162573.0994152047</v>
      </c>
      <c r="D58" s="30">
        <f>C58+(($M$58-C21)/12)</f>
        <v>243859.64912280702</v>
      </c>
      <c r="E58" s="30">
        <f>D58+(($M$58-C21)/12)</f>
        <v>325146.1988304094</v>
      </c>
      <c r="F58" s="30">
        <f>E58+(($M$58-C21)/12)</f>
        <v>406432.74853801174</v>
      </c>
      <c r="G58" s="30">
        <f>F58+(($M$58-C21)/12)</f>
        <v>487719.2982456141</v>
      </c>
      <c r="H58" s="30">
        <f>G58+(($M$58-C21)/12)</f>
        <v>569005.8479532164</v>
      </c>
      <c r="I58" s="30">
        <f>H58+(($M$58-C21)/12)</f>
        <v>650292.3976608188</v>
      </c>
      <c r="J58" s="30">
        <f>I58+(($M$58-C21)/12)</f>
        <v>731578.9473684211</v>
      </c>
      <c r="K58" s="30">
        <f>J58+(($M$58-C21)/12)</f>
        <v>812865.4970760235</v>
      </c>
      <c r="L58" s="30">
        <f>K58+(($M$58-C21)/12)</f>
        <v>894152.0467836258</v>
      </c>
      <c r="M58" s="30">
        <f>C22</f>
        <v>975438.5964912281</v>
      </c>
      <c r="N58" s="30">
        <f>M58+(($Y$58-$M$58)/12)</f>
        <v>1056725.1461988303</v>
      </c>
      <c r="O58" s="30">
        <f aca="true" t="shared" si="0" ref="O58:X58">N58+(($Y$58-$M$58)/12)</f>
        <v>1138011.6959064326</v>
      </c>
      <c r="P58" s="30">
        <f t="shared" si="0"/>
        <v>1219298.2456140348</v>
      </c>
      <c r="Q58" s="30">
        <f t="shared" si="0"/>
        <v>1300584.795321637</v>
      </c>
      <c r="R58" s="30">
        <f t="shared" si="0"/>
        <v>1381871.3450292393</v>
      </c>
      <c r="S58" s="30">
        <f t="shared" si="0"/>
        <v>1463157.8947368416</v>
      </c>
      <c r="T58" s="30">
        <f t="shared" si="0"/>
        <v>1544444.4444444438</v>
      </c>
      <c r="U58" s="30">
        <f t="shared" si="0"/>
        <v>1625730.994152046</v>
      </c>
      <c r="V58" s="30">
        <f t="shared" si="0"/>
        <v>1707017.5438596483</v>
      </c>
      <c r="W58" s="30">
        <f t="shared" si="0"/>
        <v>1788304.0935672505</v>
      </c>
      <c r="X58" s="30">
        <f t="shared" si="0"/>
        <v>1869590.6432748528</v>
      </c>
      <c r="Y58" s="30">
        <f>D22</f>
        <v>1950877.1929824562</v>
      </c>
      <c r="Z58" s="30">
        <f>Y58+(($AK$58-$Y$58)/12)</f>
        <v>2032163.7426900584</v>
      </c>
      <c r="AA58" s="30">
        <f aca="true" t="shared" si="1" ref="AA58:AJ58">Z58+(($AK$58-$Y$58)/12)</f>
        <v>2113450.2923976607</v>
      </c>
      <c r="AB58" s="30">
        <f t="shared" si="1"/>
        <v>2194736.842105263</v>
      </c>
      <c r="AC58" s="30">
        <f t="shared" si="1"/>
        <v>2276023.391812865</v>
      </c>
      <c r="AD58" s="30">
        <f t="shared" si="1"/>
        <v>2357309.9415204674</v>
      </c>
      <c r="AE58" s="30">
        <f t="shared" si="1"/>
        <v>2438596.4912280696</v>
      </c>
      <c r="AF58" s="30">
        <f t="shared" si="1"/>
        <v>2519883.040935672</v>
      </c>
      <c r="AG58" s="30">
        <f t="shared" si="1"/>
        <v>2601169.590643274</v>
      </c>
      <c r="AH58" s="30">
        <f t="shared" si="1"/>
        <v>2682456.1403508764</v>
      </c>
      <c r="AI58" s="30">
        <f t="shared" si="1"/>
        <v>2763742.6900584786</v>
      </c>
      <c r="AJ58" s="30">
        <f t="shared" si="1"/>
        <v>2845029.239766081</v>
      </c>
      <c r="AK58" s="30">
        <f>E22</f>
        <v>2926315.789473684</v>
      </c>
    </row>
    <row r="59" spans="1:37" ht="12.75">
      <c r="A59" s="30" t="s">
        <v>266</v>
      </c>
      <c r="B59" s="30">
        <f aca="true" t="shared" si="2" ref="B59:M59">B58*$C$23</f>
        <v>975438.5964912281</v>
      </c>
      <c r="C59" s="30">
        <f t="shared" si="2"/>
        <v>1950877.1929824562</v>
      </c>
      <c r="D59" s="30">
        <f t="shared" si="2"/>
        <v>2926315.7894736845</v>
      </c>
      <c r="E59" s="30">
        <f t="shared" si="2"/>
        <v>3901754.3859649124</v>
      </c>
      <c r="F59" s="30">
        <f t="shared" si="2"/>
        <v>4877192.982456141</v>
      </c>
      <c r="G59" s="30">
        <f t="shared" si="2"/>
        <v>5852631.578947369</v>
      </c>
      <c r="H59" s="30">
        <f t="shared" si="2"/>
        <v>6828070.175438597</v>
      </c>
      <c r="I59" s="30">
        <f t="shared" si="2"/>
        <v>7803508.771929825</v>
      </c>
      <c r="J59" s="30">
        <f t="shared" si="2"/>
        <v>8778947.368421054</v>
      </c>
      <c r="K59" s="30">
        <f t="shared" si="2"/>
        <v>9754385.964912282</v>
      </c>
      <c r="L59" s="30">
        <f t="shared" si="2"/>
        <v>10729824.56140351</v>
      </c>
      <c r="M59" s="30">
        <f t="shared" si="2"/>
        <v>11705263.157894738</v>
      </c>
      <c r="N59" s="30">
        <f aca="true" t="shared" si="3" ref="N59:Y59">N58*$D$23</f>
        <v>12680701.754385963</v>
      </c>
      <c r="O59" s="30">
        <f t="shared" si="3"/>
        <v>13656140.350877192</v>
      </c>
      <c r="P59" s="30">
        <f t="shared" si="3"/>
        <v>14631578.947368417</v>
      </c>
      <c r="Q59" s="30">
        <f t="shared" si="3"/>
        <v>15607017.543859646</v>
      </c>
      <c r="R59" s="30">
        <f t="shared" si="3"/>
        <v>16582456.14035087</v>
      </c>
      <c r="S59" s="30">
        <f t="shared" si="3"/>
        <v>17557894.7368421</v>
      </c>
      <c r="T59" s="30">
        <f t="shared" si="3"/>
        <v>18533333.333333325</v>
      </c>
      <c r="U59" s="30">
        <f t="shared" si="3"/>
        <v>19508771.929824553</v>
      </c>
      <c r="V59" s="30">
        <f t="shared" si="3"/>
        <v>20484210.52631578</v>
      </c>
      <c r="W59" s="30">
        <f t="shared" si="3"/>
        <v>21459649.122807007</v>
      </c>
      <c r="X59" s="30">
        <f t="shared" si="3"/>
        <v>22435087.719298232</v>
      </c>
      <c r="Y59" s="30">
        <f t="shared" si="3"/>
        <v>23410526.315789476</v>
      </c>
      <c r="Z59" s="30">
        <f aca="true" t="shared" si="4" ref="Z59:AK59">Z58*$E$23</f>
        <v>24385964.9122807</v>
      </c>
      <c r="AA59" s="30">
        <f t="shared" si="4"/>
        <v>25361403.508771926</v>
      </c>
      <c r="AB59" s="30">
        <f t="shared" si="4"/>
        <v>26336842.105263155</v>
      </c>
      <c r="AC59" s="30">
        <f t="shared" si="4"/>
        <v>27312280.701754384</v>
      </c>
      <c r="AD59" s="30">
        <f t="shared" si="4"/>
        <v>28287719.29824561</v>
      </c>
      <c r="AE59" s="30">
        <f t="shared" si="4"/>
        <v>29263157.894736834</v>
      </c>
      <c r="AF59" s="30">
        <f t="shared" si="4"/>
        <v>30238596.491228063</v>
      </c>
      <c r="AG59" s="30">
        <f t="shared" si="4"/>
        <v>31214035.08771929</v>
      </c>
      <c r="AH59" s="30">
        <f t="shared" si="4"/>
        <v>32189473.684210517</v>
      </c>
      <c r="AI59" s="30">
        <f t="shared" si="4"/>
        <v>33164912.28070174</v>
      </c>
      <c r="AJ59" s="30">
        <f t="shared" si="4"/>
        <v>34140350.877192974</v>
      </c>
      <c r="AK59" s="30">
        <f t="shared" si="4"/>
        <v>35115789.47368421</v>
      </c>
    </row>
    <row r="60" spans="5:29" ht="12.75">
      <c r="E60" s="48"/>
      <c r="Q60" s="48"/>
      <c r="AC60" s="48"/>
    </row>
    <row r="61" spans="1:29" s="89" customFormat="1" ht="12.75">
      <c r="A61" s="88" t="s">
        <v>199</v>
      </c>
      <c r="E61" s="90"/>
      <c r="Q61" s="90"/>
      <c r="AC61" s="90"/>
    </row>
    <row r="62" spans="1:37" ht="12.75">
      <c r="A62" s="30" t="s">
        <v>126</v>
      </c>
      <c r="B62" s="30">
        <f aca="true" t="shared" si="5" ref="B62:M62">(B59/1000)*$C$27*$C$26</f>
        <v>35115.78947368421</v>
      </c>
      <c r="C62" s="30">
        <f t="shared" si="5"/>
        <v>70231.57894736843</v>
      </c>
      <c r="D62" s="30">
        <f t="shared" si="5"/>
        <v>105347.36842105264</v>
      </c>
      <c r="E62" s="30">
        <f t="shared" si="5"/>
        <v>140463.15789473685</v>
      </c>
      <c r="F62" s="30">
        <f t="shared" si="5"/>
        <v>175578.94736842107</v>
      </c>
      <c r="G62" s="30">
        <f t="shared" si="5"/>
        <v>210694.73684210528</v>
      </c>
      <c r="H62" s="30">
        <f t="shared" si="5"/>
        <v>245810.52631578952</v>
      </c>
      <c r="I62" s="30">
        <f t="shared" si="5"/>
        <v>280926.3157894737</v>
      </c>
      <c r="J62" s="30">
        <f t="shared" si="5"/>
        <v>316042.1052631579</v>
      </c>
      <c r="K62" s="30">
        <f t="shared" si="5"/>
        <v>351157.89473684214</v>
      </c>
      <c r="L62" s="30">
        <f t="shared" si="5"/>
        <v>386273.6842105263</v>
      </c>
      <c r="M62" s="30">
        <f t="shared" si="5"/>
        <v>421389.47368421056</v>
      </c>
      <c r="N62" s="30">
        <f aca="true" t="shared" si="6" ref="N62:Y62">(N59/1000)*$D$27*$D$26</f>
        <v>456505.2631578947</v>
      </c>
      <c r="O62" s="30">
        <f t="shared" si="6"/>
        <v>491621.052631579</v>
      </c>
      <c r="P62" s="30">
        <f t="shared" si="6"/>
        <v>526736.842105263</v>
      </c>
      <c r="Q62" s="30">
        <f t="shared" si="6"/>
        <v>561852.6315789472</v>
      </c>
      <c r="R62" s="30">
        <f t="shared" si="6"/>
        <v>596968.4210526313</v>
      </c>
      <c r="S62" s="30">
        <f t="shared" si="6"/>
        <v>632084.2105263156</v>
      </c>
      <c r="T62" s="30">
        <f t="shared" si="6"/>
        <v>667199.9999999997</v>
      </c>
      <c r="U62" s="30">
        <f t="shared" si="6"/>
        <v>702315.789473684</v>
      </c>
      <c r="V62" s="30">
        <f t="shared" si="6"/>
        <v>737431.5789473681</v>
      </c>
      <c r="W62" s="30">
        <f t="shared" si="6"/>
        <v>772547.3684210523</v>
      </c>
      <c r="X62" s="30">
        <f t="shared" si="6"/>
        <v>807663.1578947364</v>
      </c>
      <c r="Y62" s="30">
        <f t="shared" si="6"/>
        <v>842778.9473684211</v>
      </c>
      <c r="Z62" s="30">
        <f aca="true" t="shared" si="7" ref="Z62:AK62">(Z59/1000)*$E$27*$E$26</f>
        <v>877894.7368421053</v>
      </c>
      <c r="AA62" s="30">
        <f t="shared" si="7"/>
        <v>913010.5263157894</v>
      </c>
      <c r="AB62" s="30">
        <f t="shared" si="7"/>
        <v>948126.3157894736</v>
      </c>
      <c r="AC62" s="30">
        <f t="shared" si="7"/>
        <v>983242.105263158</v>
      </c>
      <c r="AD62" s="30">
        <f t="shared" si="7"/>
        <v>1018357.8947368419</v>
      </c>
      <c r="AE62" s="30">
        <f t="shared" si="7"/>
        <v>1053473.684210526</v>
      </c>
      <c r="AF62" s="30">
        <f t="shared" si="7"/>
        <v>1088589.4736842103</v>
      </c>
      <c r="AG62" s="30">
        <f t="shared" si="7"/>
        <v>1123705.2631578944</v>
      </c>
      <c r="AH62" s="30">
        <f t="shared" si="7"/>
        <v>1158821.0526315784</v>
      </c>
      <c r="AI62" s="30">
        <f t="shared" si="7"/>
        <v>1193936.8421052627</v>
      </c>
      <c r="AJ62" s="30">
        <f t="shared" si="7"/>
        <v>1229052.6315789472</v>
      </c>
      <c r="AK62" s="30">
        <f t="shared" si="7"/>
        <v>1264168.4210526315</v>
      </c>
    </row>
    <row r="63" spans="1:37" ht="12.75">
      <c r="A63" s="62" t="s">
        <v>231</v>
      </c>
      <c r="B63" s="30">
        <f aca="true" t="shared" si="8" ref="B63:M63">B62*$C$28</f>
        <v>17557.894736842107</v>
      </c>
      <c r="C63" s="30">
        <f t="shared" si="8"/>
        <v>35115.78947368421</v>
      </c>
      <c r="D63" s="30">
        <f t="shared" si="8"/>
        <v>52673.68421052632</v>
      </c>
      <c r="E63" s="30">
        <f t="shared" si="8"/>
        <v>70231.57894736843</v>
      </c>
      <c r="F63" s="30">
        <f t="shared" si="8"/>
        <v>87789.47368421053</v>
      </c>
      <c r="G63" s="30">
        <f t="shared" si="8"/>
        <v>105347.36842105264</v>
      </c>
      <c r="H63" s="30">
        <f t="shared" si="8"/>
        <v>122905.26315789476</v>
      </c>
      <c r="I63" s="30">
        <f t="shared" si="8"/>
        <v>140463.15789473685</v>
      </c>
      <c r="J63" s="30">
        <f t="shared" si="8"/>
        <v>158021.05263157896</v>
      </c>
      <c r="K63" s="30">
        <f t="shared" si="8"/>
        <v>175578.94736842107</v>
      </c>
      <c r="L63" s="30">
        <f t="shared" si="8"/>
        <v>193136.84210526315</v>
      </c>
      <c r="M63" s="30">
        <f t="shared" si="8"/>
        <v>210694.73684210528</v>
      </c>
      <c r="N63" s="30">
        <f>N62*$D$28</f>
        <v>251077.8947368421</v>
      </c>
      <c r="O63" s="30">
        <f aca="true" t="shared" si="9" ref="O63:Y63">O62*$D$28</f>
        <v>270391.5789473685</v>
      </c>
      <c r="P63" s="30">
        <f t="shared" si="9"/>
        <v>289705.2631578947</v>
      </c>
      <c r="Q63" s="30">
        <f t="shared" si="9"/>
        <v>309018.94736842095</v>
      </c>
      <c r="R63" s="30">
        <f t="shared" si="9"/>
        <v>328332.63157894724</v>
      </c>
      <c r="S63" s="30">
        <f t="shared" si="9"/>
        <v>347646.3157894736</v>
      </c>
      <c r="T63" s="30">
        <f t="shared" si="9"/>
        <v>366959.9999999998</v>
      </c>
      <c r="U63" s="30">
        <f t="shared" si="9"/>
        <v>386273.68421052623</v>
      </c>
      <c r="V63" s="30">
        <f t="shared" si="9"/>
        <v>405587.36842105247</v>
      </c>
      <c r="W63" s="30">
        <f t="shared" si="9"/>
        <v>424901.0526315788</v>
      </c>
      <c r="X63" s="30">
        <f t="shared" si="9"/>
        <v>444214.73684210505</v>
      </c>
      <c r="Y63" s="30">
        <f t="shared" si="9"/>
        <v>463528.42105263163</v>
      </c>
      <c r="Z63" s="30">
        <f>Z62*$E$28</f>
        <v>526736.8421052631</v>
      </c>
      <c r="AA63" s="30">
        <f aca="true" t="shared" si="10" ref="AA63:AK63">AA62*$E$28</f>
        <v>547806.3157894736</v>
      </c>
      <c r="AB63" s="30">
        <f t="shared" si="10"/>
        <v>568875.7894736842</v>
      </c>
      <c r="AC63" s="30">
        <f t="shared" si="10"/>
        <v>589945.2631578947</v>
      </c>
      <c r="AD63" s="30">
        <f t="shared" si="10"/>
        <v>611014.7368421052</v>
      </c>
      <c r="AE63" s="30">
        <f t="shared" si="10"/>
        <v>632084.2105263156</v>
      </c>
      <c r="AF63" s="30">
        <f t="shared" si="10"/>
        <v>653153.6842105262</v>
      </c>
      <c r="AG63" s="30">
        <f t="shared" si="10"/>
        <v>674223.1578947366</v>
      </c>
      <c r="AH63" s="30">
        <f t="shared" si="10"/>
        <v>695292.6315789471</v>
      </c>
      <c r="AI63" s="30">
        <f t="shared" si="10"/>
        <v>716362.1052631576</v>
      </c>
      <c r="AJ63" s="30">
        <f t="shared" si="10"/>
        <v>737431.5789473683</v>
      </c>
      <c r="AK63" s="30">
        <f t="shared" si="10"/>
        <v>758501.0526315789</v>
      </c>
    </row>
    <row r="64" spans="1:37" ht="12.75">
      <c r="A64" s="62"/>
      <c r="M64" s="30">
        <f>SUM(B63:M63)</f>
        <v>1369515.7894736845</v>
      </c>
      <c r="Y64" s="30">
        <f>SUM(N63:Y63)</f>
        <v>4287637.894736841</v>
      </c>
      <c r="AK64" s="30">
        <f>SUM(Z63:AK63)</f>
        <v>7711427.368421052</v>
      </c>
    </row>
    <row r="65" spans="1:37" ht="12.75">
      <c r="A65" s="30" t="s">
        <v>48</v>
      </c>
      <c r="B65" s="30">
        <f>(((B59*$C$26)/1000)*$C$31)*$C$32</f>
        <v>2633.6842105263163</v>
      </c>
      <c r="C65" s="30">
        <f aca="true" t="shared" si="11" ref="C65:M65">(((C59*$C$26)/1000)*$C$31)*$C$32</f>
        <v>5267.368421052633</v>
      </c>
      <c r="D65" s="30">
        <f t="shared" si="11"/>
        <v>7901.052631578948</v>
      </c>
      <c r="E65" s="30">
        <f t="shared" si="11"/>
        <v>10534.736842105265</v>
      </c>
      <c r="F65" s="30">
        <f t="shared" si="11"/>
        <v>13168.421052631582</v>
      </c>
      <c r="G65" s="30">
        <f t="shared" si="11"/>
        <v>15802.105263157897</v>
      </c>
      <c r="H65" s="30">
        <f t="shared" si="11"/>
        <v>18435.78947368421</v>
      </c>
      <c r="I65" s="30">
        <f t="shared" si="11"/>
        <v>21069.47368421053</v>
      </c>
      <c r="J65" s="30">
        <f t="shared" si="11"/>
        <v>23703.157894736843</v>
      </c>
      <c r="K65" s="30">
        <f t="shared" si="11"/>
        <v>26336.842105263164</v>
      </c>
      <c r="L65" s="30">
        <f t="shared" si="11"/>
        <v>28970.526315789473</v>
      </c>
      <c r="M65" s="30">
        <f t="shared" si="11"/>
        <v>31604.210526315794</v>
      </c>
      <c r="N65" s="30">
        <f>(((N59*$D$26)/1000)*$D$31)*$D$32</f>
        <v>29102.210526315783</v>
      </c>
      <c r="O65" s="30">
        <f aca="true" t="shared" si="12" ref="O65:Y65">(((O59*$D$26)/1000)*$D$31)*$D$32</f>
        <v>31340.842105263157</v>
      </c>
      <c r="P65" s="30">
        <f t="shared" si="12"/>
        <v>33579.47368421052</v>
      </c>
      <c r="Q65" s="30">
        <f t="shared" si="12"/>
        <v>35818.10526315789</v>
      </c>
      <c r="R65" s="30">
        <f t="shared" si="12"/>
        <v>38056.736842105245</v>
      </c>
      <c r="S65" s="30">
        <f t="shared" si="12"/>
        <v>40295.368421052626</v>
      </c>
      <c r="T65" s="30">
        <f t="shared" si="12"/>
        <v>42533.999999999985</v>
      </c>
      <c r="U65" s="30">
        <f t="shared" si="12"/>
        <v>44772.63157894735</v>
      </c>
      <c r="V65" s="30">
        <f t="shared" si="12"/>
        <v>47011.26315789472</v>
      </c>
      <c r="W65" s="30">
        <f t="shared" si="12"/>
        <v>49249.894736842085</v>
      </c>
      <c r="X65" s="30">
        <f t="shared" si="12"/>
        <v>51488.52631578945</v>
      </c>
      <c r="Y65" s="30">
        <f t="shared" si="12"/>
        <v>53727.15789473685</v>
      </c>
      <c r="Z65" s="30">
        <f>(((Z59*$E$26)/1000)*$E$31)*$E$32</f>
        <v>46089.47368421053</v>
      </c>
      <c r="AA65" s="30">
        <f aca="true" t="shared" si="13" ref="AA65:AK65">(((AA59*$E$26)/1000)*$E$31)*$E$32</f>
        <v>47933.05263157894</v>
      </c>
      <c r="AB65" s="30">
        <f t="shared" si="13"/>
        <v>49776.63157894737</v>
      </c>
      <c r="AC65" s="30">
        <f t="shared" si="13"/>
        <v>51620.21052631579</v>
      </c>
      <c r="AD65" s="30">
        <f t="shared" si="13"/>
        <v>53463.789473684206</v>
      </c>
      <c r="AE65" s="30">
        <f t="shared" si="13"/>
        <v>55307.368421052626</v>
      </c>
      <c r="AF65" s="30">
        <f t="shared" si="13"/>
        <v>57150.94736842104</v>
      </c>
      <c r="AG65" s="30">
        <f t="shared" si="13"/>
        <v>58994.526315789466</v>
      </c>
      <c r="AH65" s="30">
        <f t="shared" si="13"/>
        <v>60838.105263157886</v>
      </c>
      <c r="AI65" s="30">
        <f t="shared" si="13"/>
        <v>62681.68421052629</v>
      </c>
      <c r="AJ65" s="30">
        <f t="shared" si="13"/>
        <v>64525.26315789472</v>
      </c>
      <c r="AK65" s="30">
        <f t="shared" si="13"/>
        <v>66368.84210526316</v>
      </c>
    </row>
    <row r="66" ht="12.75">
      <c r="A66" s="62"/>
    </row>
    <row r="67" spans="1:37" ht="12.75">
      <c r="A67" s="30" t="s">
        <v>49</v>
      </c>
      <c r="B67" s="30">
        <f>(((B59*$C$26)/1000)*$C$35)*$C$36</f>
        <v>695.0000000000001</v>
      </c>
      <c r="C67" s="30">
        <f aca="true" t="shared" si="14" ref="C67:M67">(((C59*$C$26)/1000)*$C$35)*$C$36</f>
        <v>1390.0000000000002</v>
      </c>
      <c r="D67" s="30">
        <f t="shared" si="14"/>
        <v>2085</v>
      </c>
      <c r="E67" s="30">
        <f t="shared" si="14"/>
        <v>2780.0000000000005</v>
      </c>
      <c r="F67" s="30">
        <f t="shared" si="14"/>
        <v>3475.0000000000005</v>
      </c>
      <c r="G67" s="30">
        <f t="shared" si="14"/>
        <v>4170</v>
      </c>
      <c r="H67" s="30">
        <f t="shared" si="14"/>
        <v>4865</v>
      </c>
      <c r="I67" s="30">
        <f t="shared" si="14"/>
        <v>5560.000000000001</v>
      </c>
      <c r="J67" s="30">
        <f t="shared" si="14"/>
        <v>6255</v>
      </c>
      <c r="K67" s="30">
        <f t="shared" si="14"/>
        <v>6950.000000000001</v>
      </c>
      <c r="L67" s="30">
        <f t="shared" si="14"/>
        <v>7645</v>
      </c>
      <c r="M67" s="30">
        <f t="shared" si="14"/>
        <v>8340</v>
      </c>
      <c r="N67" s="30">
        <f>(((N59*$D$26)/1000)*$D$35)*$D$36</f>
        <v>8312.199999999999</v>
      </c>
      <c r="O67" s="30">
        <f aca="true" t="shared" si="15" ref="O67:Y67">(((O59*$D$26)/1000)*$D$35)*$D$36</f>
        <v>8951.599999999999</v>
      </c>
      <c r="P67" s="30">
        <f t="shared" si="15"/>
        <v>9590.999999999996</v>
      </c>
      <c r="Q67" s="30">
        <f t="shared" si="15"/>
        <v>10230.4</v>
      </c>
      <c r="R67" s="30">
        <f t="shared" si="15"/>
        <v>10869.799999999996</v>
      </c>
      <c r="S67" s="30">
        <f t="shared" si="15"/>
        <v>11509.199999999997</v>
      </c>
      <c r="T67" s="30">
        <f t="shared" si="15"/>
        <v>12148.599999999993</v>
      </c>
      <c r="U67" s="30">
        <f t="shared" si="15"/>
        <v>12787.999999999995</v>
      </c>
      <c r="V67" s="30">
        <f t="shared" si="15"/>
        <v>13427.399999999994</v>
      </c>
      <c r="W67" s="30">
        <f t="shared" si="15"/>
        <v>14066.799999999992</v>
      </c>
      <c r="X67" s="30">
        <f t="shared" si="15"/>
        <v>14706.199999999992</v>
      </c>
      <c r="Y67" s="30">
        <f t="shared" si="15"/>
        <v>15345.6</v>
      </c>
      <c r="Z67" s="30">
        <f>(((Z59*$E$26)/1000)*$E$35)*$E$36</f>
        <v>14594.999999999996</v>
      </c>
      <c r="AA67" s="30">
        <f aca="true" t="shared" si="16" ref="AA67:AK67">(((AA59*$E$26)/1000)*$E$35)*$E$36</f>
        <v>15178.799999999996</v>
      </c>
      <c r="AB67" s="30">
        <f t="shared" si="16"/>
        <v>15762.599999999997</v>
      </c>
      <c r="AC67" s="30">
        <f t="shared" si="16"/>
        <v>16346.399999999996</v>
      </c>
      <c r="AD67" s="30">
        <f t="shared" si="16"/>
        <v>16930.199999999997</v>
      </c>
      <c r="AE67" s="30">
        <f t="shared" si="16"/>
        <v>17513.999999999993</v>
      </c>
      <c r="AF67" s="30">
        <f t="shared" si="16"/>
        <v>18097.799999999992</v>
      </c>
      <c r="AG67" s="30">
        <f t="shared" si="16"/>
        <v>18681.599999999995</v>
      </c>
      <c r="AH67" s="30">
        <f t="shared" si="16"/>
        <v>19265.399999999994</v>
      </c>
      <c r="AI67" s="30">
        <f t="shared" si="16"/>
        <v>19849.19999999999</v>
      </c>
      <c r="AJ67" s="30">
        <f t="shared" si="16"/>
        <v>20432.999999999993</v>
      </c>
      <c r="AK67" s="30">
        <f t="shared" si="16"/>
        <v>21016.799999999996</v>
      </c>
    </row>
    <row r="68" ht="12.75">
      <c r="A68" s="62"/>
    </row>
    <row r="69" spans="1:37" ht="12.75">
      <c r="A69" s="30" t="s">
        <v>267</v>
      </c>
      <c r="B69" s="30">
        <f>B59*$C$41*$C$40*$C$39</f>
        <v>2106.9473684210525</v>
      </c>
      <c r="C69" s="30">
        <f aca="true" t="shared" si="17" ref="C69:M69">C59*$C$41*$C$40*$C$39</f>
        <v>4213.894736842105</v>
      </c>
      <c r="D69" s="30">
        <f t="shared" si="17"/>
        <v>6320.842105263158</v>
      </c>
      <c r="E69" s="30">
        <f t="shared" si="17"/>
        <v>8427.78947368421</v>
      </c>
      <c r="F69" s="30">
        <f t="shared" si="17"/>
        <v>10534.736842105265</v>
      </c>
      <c r="G69" s="30">
        <f t="shared" si="17"/>
        <v>12641.684210526317</v>
      </c>
      <c r="H69" s="30">
        <f t="shared" si="17"/>
        <v>14748.63157894737</v>
      </c>
      <c r="I69" s="30">
        <f t="shared" si="17"/>
        <v>16855.57894736842</v>
      </c>
      <c r="J69" s="30">
        <f t="shared" si="17"/>
        <v>18962.526315789473</v>
      </c>
      <c r="K69" s="30">
        <f t="shared" si="17"/>
        <v>21069.47368421053</v>
      </c>
      <c r="L69" s="30">
        <f t="shared" si="17"/>
        <v>23176.42105263158</v>
      </c>
      <c r="M69" s="30">
        <f t="shared" si="17"/>
        <v>25283.368421052633</v>
      </c>
      <c r="N69" s="30">
        <f>N59*$D$41*$D$40*$D$39</f>
        <v>27390.31578947368</v>
      </c>
      <c r="O69" s="30">
        <f aca="true" t="shared" si="18" ref="O69:Y69">O59*$D$41*$D$40*$D$39</f>
        <v>29497.263157894733</v>
      </c>
      <c r="P69" s="30">
        <f t="shared" si="18"/>
        <v>31604.21052631578</v>
      </c>
      <c r="Q69" s="30">
        <f t="shared" si="18"/>
        <v>33711.15789473684</v>
      </c>
      <c r="R69" s="30">
        <f t="shared" si="18"/>
        <v>35818.10526315788</v>
      </c>
      <c r="S69" s="30">
        <f t="shared" si="18"/>
        <v>37925.05263157894</v>
      </c>
      <c r="T69" s="30">
        <f t="shared" si="18"/>
        <v>40031.999999999985</v>
      </c>
      <c r="U69" s="30">
        <f t="shared" si="18"/>
        <v>42138.94736842103</v>
      </c>
      <c r="V69" s="30">
        <f t="shared" si="18"/>
        <v>44245.89473684208</v>
      </c>
      <c r="W69" s="30">
        <f t="shared" si="18"/>
        <v>46352.84210526314</v>
      </c>
      <c r="X69" s="30">
        <f t="shared" si="18"/>
        <v>48459.789473684184</v>
      </c>
      <c r="Y69" s="30">
        <f t="shared" si="18"/>
        <v>50566.73684210527</v>
      </c>
      <c r="Z69" s="30">
        <f>Z59*$E$41*$E$40*$E$39</f>
        <v>52673.684210526306</v>
      </c>
      <c r="AA69" s="30">
        <f aca="true" t="shared" si="19" ref="AA69:AK69">AA59*$E$41*$E$40*$E$39</f>
        <v>54780.63157894736</v>
      </c>
      <c r="AB69" s="30">
        <f t="shared" si="19"/>
        <v>56887.57894736842</v>
      </c>
      <c r="AC69" s="30">
        <f t="shared" si="19"/>
        <v>58994.526315789466</v>
      </c>
      <c r="AD69" s="30">
        <f t="shared" si="19"/>
        <v>61101.47368421052</v>
      </c>
      <c r="AE69" s="30">
        <f t="shared" si="19"/>
        <v>63208.42105263156</v>
      </c>
      <c r="AF69" s="30">
        <f t="shared" si="19"/>
        <v>65315.36842105262</v>
      </c>
      <c r="AG69" s="30">
        <f t="shared" si="19"/>
        <v>67422.31578947368</v>
      </c>
      <c r="AH69" s="30">
        <f t="shared" si="19"/>
        <v>69529.26315789472</v>
      </c>
      <c r="AI69" s="30">
        <f t="shared" si="19"/>
        <v>71636.21052631576</v>
      </c>
      <c r="AJ69" s="30">
        <f t="shared" si="19"/>
        <v>73743.15789473683</v>
      </c>
      <c r="AK69" s="30">
        <f t="shared" si="19"/>
        <v>75850.1052631579</v>
      </c>
    </row>
    <row r="70" spans="5:29" ht="12.75">
      <c r="E70" s="48"/>
      <c r="Q70" s="48"/>
      <c r="AC70" s="48"/>
    </row>
    <row r="71" spans="1:37" ht="12.75">
      <c r="A71" s="30" t="s">
        <v>262</v>
      </c>
      <c r="B71" s="30">
        <f>($C$44*$C$45*$C$46*$C$47)/12</f>
        <v>16250</v>
      </c>
      <c r="C71" s="30">
        <f aca="true" t="shared" si="20" ref="C71:M71">($C$44*$C$45*$C$46*$C$47)/12</f>
        <v>16250</v>
      </c>
      <c r="D71" s="30">
        <f t="shared" si="20"/>
        <v>16250</v>
      </c>
      <c r="E71" s="30">
        <f t="shared" si="20"/>
        <v>16250</v>
      </c>
      <c r="F71" s="30">
        <f t="shared" si="20"/>
        <v>16250</v>
      </c>
      <c r="G71" s="30">
        <f t="shared" si="20"/>
        <v>16250</v>
      </c>
      <c r="H71" s="30">
        <f t="shared" si="20"/>
        <v>16250</v>
      </c>
      <c r="I71" s="30">
        <f t="shared" si="20"/>
        <v>16250</v>
      </c>
      <c r="J71" s="30">
        <f t="shared" si="20"/>
        <v>16250</v>
      </c>
      <c r="K71" s="30">
        <f t="shared" si="20"/>
        <v>16250</v>
      </c>
      <c r="L71" s="30">
        <f t="shared" si="20"/>
        <v>16250</v>
      </c>
      <c r="M71" s="30">
        <f t="shared" si="20"/>
        <v>16250</v>
      </c>
      <c r="N71" s="30">
        <f>($D$44*$D$45*$D$46*$D$47)/12</f>
        <v>32760</v>
      </c>
      <c r="O71" s="30">
        <f aca="true" t="shared" si="21" ref="O71:Y71">($D$44*$D$45*$D$46*$D$47)/12</f>
        <v>32760</v>
      </c>
      <c r="P71" s="30">
        <f t="shared" si="21"/>
        <v>32760</v>
      </c>
      <c r="Q71" s="30">
        <f t="shared" si="21"/>
        <v>32760</v>
      </c>
      <c r="R71" s="30">
        <f t="shared" si="21"/>
        <v>32760</v>
      </c>
      <c r="S71" s="30">
        <f t="shared" si="21"/>
        <v>32760</v>
      </c>
      <c r="T71" s="30">
        <f t="shared" si="21"/>
        <v>32760</v>
      </c>
      <c r="U71" s="30">
        <f t="shared" si="21"/>
        <v>32760</v>
      </c>
      <c r="V71" s="30">
        <f t="shared" si="21"/>
        <v>32760</v>
      </c>
      <c r="W71" s="30">
        <f t="shared" si="21"/>
        <v>32760</v>
      </c>
      <c r="X71" s="30">
        <f t="shared" si="21"/>
        <v>32760</v>
      </c>
      <c r="Y71" s="30">
        <f t="shared" si="21"/>
        <v>32760</v>
      </c>
      <c r="Z71" s="30">
        <f>($E$44*$E$45*$E$46*$E$47)/12</f>
        <v>50163.75</v>
      </c>
      <c r="AA71" s="30">
        <f aca="true" t="shared" si="22" ref="AA71:AK71">($E$44*$E$45*$E$46*$E$47)/12</f>
        <v>50163.75</v>
      </c>
      <c r="AB71" s="30">
        <f t="shared" si="22"/>
        <v>50163.75</v>
      </c>
      <c r="AC71" s="30">
        <f t="shared" si="22"/>
        <v>50163.75</v>
      </c>
      <c r="AD71" s="30">
        <f t="shared" si="22"/>
        <v>50163.75</v>
      </c>
      <c r="AE71" s="30">
        <f t="shared" si="22"/>
        <v>50163.75</v>
      </c>
      <c r="AF71" s="30">
        <f t="shared" si="22"/>
        <v>50163.75</v>
      </c>
      <c r="AG71" s="30">
        <f t="shared" si="22"/>
        <v>50163.75</v>
      </c>
      <c r="AH71" s="30">
        <f t="shared" si="22"/>
        <v>50163.75</v>
      </c>
      <c r="AI71" s="30">
        <f t="shared" si="22"/>
        <v>50163.75</v>
      </c>
      <c r="AJ71" s="30">
        <f t="shared" si="22"/>
        <v>50163.75</v>
      </c>
      <c r="AK71" s="30">
        <f t="shared" si="22"/>
        <v>50163.75</v>
      </c>
    </row>
    <row r="72" spans="5:29" ht="12.75">
      <c r="E72" s="48"/>
      <c r="Q72" s="48"/>
      <c r="AC72" s="48"/>
    </row>
    <row r="73" spans="1:29" ht="12.75">
      <c r="A73" s="30" t="s">
        <v>50</v>
      </c>
      <c r="E73" s="48"/>
      <c r="Q73" s="48"/>
      <c r="AC73" s="48"/>
    </row>
    <row r="74" spans="1:37" ht="12.75">
      <c r="A74" s="30" t="s">
        <v>114</v>
      </c>
      <c r="B74" s="92">
        <v>81898.44923076923</v>
      </c>
      <c r="C74" s="92">
        <v>85993.37169230769</v>
      </c>
      <c r="D74" s="92">
        <v>90293.04027692307</v>
      </c>
      <c r="E74" s="11">
        <v>94807.69229076922</v>
      </c>
      <c r="F74" s="92">
        <v>99548.0769053077</v>
      </c>
      <c r="G74" s="92">
        <v>104525.48075057307</v>
      </c>
      <c r="H74" s="92">
        <v>109751.75478810172</v>
      </c>
      <c r="I74" s="92">
        <v>115239.34252750679</v>
      </c>
      <c r="J74" s="92">
        <v>121001.30965388214</v>
      </c>
      <c r="K74" s="92">
        <v>127051.37513657624</v>
      </c>
      <c r="L74" s="92">
        <v>133403.94389340508</v>
      </c>
      <c r="M74" s="92">
        <v>140074.14108807532</v>
      </c>
      <c r="N74" s="92">
        <v>233982.9310077975</v>
      </c>
      <c r="O74" s="92">
        <v>245682.07755818742</v>
      </c>
      <c r="P74" s="92">
        <v>257966.1814360968</v>
      </c>
      <c r="Q74" s="11">
        <v>270864.4905079016</v>
      </c>
      <c r="R74" s="92">
        <v>284407.7150332967</v>
      </c>
      <c r="S74" s="92">
        <v>298628.10078496154</v>
      </c>
      <c r="T74" s="92">
        <v>313559.50582420954</v>
      </c>
      <c r="U74" s="92">
        <v>329237.48111542006</v>
      </c>
      <c r="V74" s="92">
        <v>345699.35517119104</v>
      </c>
      <c r="W74" s="92">
        <v>362984.32292975066</v>
      </c>
      <c r="X74" s="92">
        <v>381133.5390762381</v>
      </c>
      <c r="Y74" s="92">
        <v>400190.21603005</v>
      </c>
      <c r="Z74" s="92">
        <v>531249.1958611333</v>
      </c>
      <c r="AA74" s="92">
        <v>557811.65565419</v>
      </c>
      <c r="AB74" s="92">
        <v>585702.2384368996</v>
      </c>
      <c r="AC74" s="11">
        <v>614987.3503587444</v>
      </c>
      <c r="AD74" s="92">
        <v>645736.7178766817</v>
      </c>
      <c r="AE74" s="92">
        <v>678023.5537705158</v>
      </c>
      <c r="AF74" s="92">
        <v>711924.7314590416</v>
      </c>
      <c r="AG74" s="92">
        <v>747520.9680319936</v>
      </c>
      <c r="AH74" s="92">
        <v>784897.0164335934</v>
      </c>
      <c r="AI74" s="92">
        <v>824141.867255273</v>
      </c>
      <c r="AJ74" s="92">
        <v>865348.9606180367</v>
      </c>
      <c r="AK74" s="92">
        <v>908616.4086489386</v>
      </c>
    </row>
    <row r="75" spans="1:37" ht="12.75">
      <c r="A75" s="30" t="s">
        <v>47</v>
      </c>
      <c r="B75" s="30">
        <f>B74*$C$50</f>
        <v>16379.689846153846</v>
      </c>
      <c r="C75" s="30">
        <f aca="true" t="shared" si="23" ref="C75:M75">C74*$C$50</f>
        <v>17198.674338461537</v>
      </c>
      <c r="D75" s="30">
        <f t="shared" si="23"/>
        <v>18058.608055384615</v>
      </c>
      <c r="E75" s="30">
        <f t="shared" si="23"/>
        <v>18961.538458153846</v>
      </c>
      <c r="F75" s="30">
        <f t="shared" si="23"/>
        <v>19909.61538106154</v>
      </c>
      <c r="G75" s="30">
        <f t="shared" si="23"/>
        <v>20905.096150114616</v>
      </c>
      <c r="H75" s="30">
        <f t="shared" si="23"/>
        <v>21950.350957620347</v>
      </c>
      <c r="I75" s="30">
        <f t="shared" si="23"/>
        <v>23047.86850550136</v>
      </c>
      <c r="J75" s="30">
        <f t="shared" si="23"/>
        <v>24200.26193077643</v>
      </c>
      <c r="K75" s="30">
        <f t="shared" si="23"/>
        <v>25410.27502731525</v>
      </c>
      <c r="L75" s="30">
        <f t="shared" si="23"/>
        <v>26680.788778681017</v>
      </c>
      <c r="M75" s="30">
        <f t="shared" si="23"/>
        <v>28014.828217615068</v>
      </c>
      <c r="N75" s="30">
        <f>N74*$D$50</f>
        <v>46796.586201559505</v>
      </c>
      <c r="O75" s="30">
        <f aca="true" t="shared" si="24" ref="O75:Y75">O74*$D$50</f>
        <v>49136.41551163749</v>
      </c>
      <c r="P75" s="30">
        <f t="shared" si="24"/>
        <v>51593.23628721936</v>
      </c>
      <c r="Q75" s="30">
        <f t="shared" si="24"/>
        <v>54172.89810158032</v>
      </c>
      <c r="R75" s="30">
        <f t="shared" si="24"/>
        <v>56881.54300665935</v>
      </c>
      <c r="S75" s="30">
        <f t="shared" si="24"/>
        <v>59725.620156992314</v>
      </c>
      <c r="T75" s="30">
        <f t="shared" si="24"/>
        <v>62711.90116484191</v>
      </c>
      <c r="U75" s="30">
        <f t="shared" si="24"/>
        <v>65847.49622308402</v>
      </c>
      <c r="V75" s="30">
        <f t="shared" si="24"/>
        <v>69139.87103423821</v>
      </c>
      <c r="W75" s="30">
        <f t="shared" si="24"/>
        <v>72596.86458595014</v>
      </c>
      <c r="X75" s="30">
        <f t="shared" si="24"/>
        <v>76226.70781524763</v>
      </c>
      <c r="Y75" s="30">
        <f t="shared" si="24"/>
        <v>80038.04320601001</v>
      </c>
      <c r="Z75" s="30">
        <f>Z74*$E$50</f>
        <v>106249.83917222667</v>
      </c>
      <c r="AA75" s="30">
        <f aca="true" t="shared" si="25" ref="AA75:AK75">AA74*$E$50</f>
        <v>111562.331130838</v>
      </c>
      <c r="AB75" s="30">
        <f t="shared" si="25"/>
        <v>117140.44768737993</v>
      </c>
      <c r="AC75" s="30">
        <f t="shared" si="25"/>
        <v>122997.47007174889</v>
      </c>
      <c r="AD75" s="30">
        <f t="shared" si="25"/>
        <v>129147.34357533634</v>
      </c>
      <c r="AE75" s="30">
        <f t="shared" si="25"/>
        <v>135604.71075410317</v>
      </c>
      <c r="AF75" s="30">
        <f t="shared" si="25"/>
        <v>142384.94629180833</v>
      </c>
      <c r="AG75" s="30">
        <f t="shared" si="25"/>
        <v>149504.19360639874</v>
      </c>
      <c r="AH75" s="30">
        <f t="shared" si="25"/>
        <v>156979.40328671868</v>
      </c>
      <c r="AI75" s="30">
        <f t="shared" si="25"/>
        <v>164828.37345105462</v>
      </c>
      <c r="AJ75" s="30">
        <f t="shared" si="25"/>
        <v>173069.79212360736</v>
      </c>
      <c r="AK75" s="30">
        <f t="shared" si="25"/>
        <v>181723.28172978773</v>
      </c>
    </row>
    <row r="76" spans="5:29" ht="12.75">
      <c r="E76" s="48"/>
      <c r="N76" s="30">
        <f>SUM(B75:M75)</f>
        <v>260717.59564683947</v>
      </c>
      <c r="Q76" s="48"/>
      <c r="AC76" s="48"/>
    </row>
    <row r="77" spans="5:29" ht="12.75">
      <c r="E77" s="48"/>
      <c r="Q77" s="48"/>
      <c r="AC77" s="48"/>
    </row>
    <row r="78" spans="1:37" ht="12.75">
      <c r="A78" s="63" t="s">
        <v>341</v>
      </c>
      <c r="B78" s="30">
        <f>B63+B65+B67+B69+B71</f>
        <v>39243.52631578948</v>
      </c>
      <c r="C78" s="30">
        <f aca="true" t="shared" si="26" ref="C78:AK78">C63+C65+C67+C69+C71</f>
        <v>62237.052631578954</v>
      </c>
      <c r="D78" s="30">
        <f t="shared" si="26"/>
        <v>85230.57894736843</v>
      </c>
      <c r="E78" s="30">
        <f t="shared" si="26"/>
        <v>108224.10526315791</v>
      </c>
      <c r="F78" s="30">
        <f t="shared" si="26"/>
        <v>131217.6315789474</v>
      </c>
      <c r="G78" s="30">
        <f t="shared" si="26"/>
        <v>154211.15789473685</v>
      </c>
      <c r="H78" s="30">
        <f t="shared" si="26"/>
        <v>177204.68421052632</v>
      </c>
      <c r="I78" s="30">
        <f t="shared" si="26"/>
        <v>200198.21052631582</v>
      </c>
      <c r="J78" s="30">
        <f t="shared" si="26"/>
        <v>223191.73684210528</v>
      </c>
      <c r="K78" s="30">
        <f t="shared" si="26"/>
        <v>246185.26315789478</v>
      </c>
      <c r="L78" s="30">
        <f t="shared" si="26"/>
        <v>269178.78947368416</v>
      </c>
      <c r="M78" s="30">
        <f t="shared" si="26"/>
        <v>292172.3157894737</v>
      </c>
      <c r="N78" s="30">
        <f t="shared" si="26"/>
        <v>348642.6210526315</v>
      </c>
      <c r="O78" s="30">
        <f t="shared" si="26"/>
        <v>372941.2842105263</v>
      </c>
      <c r="P78" s="30">
        <f t="shared" si="26"/>
        <v>397239.947368421</v>
      </c>
      <c r="Q78" s="30">
        <f t="shared" si="26"/>
        <v>421538.61052631575</v>
      </c>
      <c r="R78" s="30">
        <f t="shared" si="26"/>
        <v>445837.2736842103</v>
      </c>
      <c r="S78" s="30">
        <f t="shared" si="26"/>
        <v>470135.9368421052</v>
      </c>
      <c r="T78" s="30">
        <f t="shared" si="26"/>
        <v>494434.5999999998</v>
      </c>
      <c r="U78" s="30">
        <f t="shared" si="26"/>
        <v>518733.2631578946</v>
      </c>
      <c r="V78" s="30">
        <f t="shared" si="26"/>
        <v>543031.9263157893</v>
      </c>
      <c r="W78" s="30">
        <f t="shared" si="26"/>
        <v>567330.589473684</v>
      </c>
      <c r="X78" s="30">
        <f t="shared" si="26"/>
        <v>591629.2526315787</v>
      </c>
      <c r="Y78" s="30">
        <f t="shared" si="26"/>
        <v>615927.9157894738</v>
      </c>
      <c r="Z78" s="30">
        <f t="shared" si="26"/>
        <v>690258.75</v>
      </c>
      <c r="AA78" s="30">
        <f t="shared" si="26"/>
        <v>715862.55</v>
      </c>
      <c r="AB78" s="30">
        <f t="shared" si="26"/>
        <v>741466.35</v>
      </c>
      <c r="AC78" s="30">
        <f t="shared" si="26"/>
        <v>767070.15</v>
      </c>
      <c r="AD78" s="30">
        <f t="shared" si="26"/>
        <v>792673.9499999998</v>
      </c>
      <c r="AE78" s="30">
        <f t="shared" si="26"/>
        <v>818277.7499999998</v>
      </c>
      <c r="AF78" s="30">
        <f t="shared" si="26"/>
        <v>843881.5499999998</v>
      </c>
      <c r="AG78" s="30">
        <f t="shared" si="26"/>
        <v>869485.3499999997</v>
      </c>
      <c r="AH78" s="30">
        <f t="shared" si="26"/>
        <v>895089.1499999997</v>
      </c>
      <c r="AI78" s="30">
        <f t="shared" si="26"/>
        <v>920692.9499999996</v>
      </c>
      <c r="AJ78" s="30">
        <f t="shared" si="26"/>
        <v>946296.7499999999</v>
      </c>
      <c r="AK78" s="30">
        <f t="shared" si="26"/>
        <v>971900.5499999999</v>
      </c>
    </row>
    <row r="80" spans="12:37" ht="12.75">
      <c r="L80" s="63" t="s">
        <v>336</v>
      </c>
      <c r="M80" s="48">
        <f>SUM(B78:M78)</f>
        <v>1988495.0526315789</v>
      </c>
      <c r="X80" s="64" t="s">
        <v>129</v>
      </c>
      <c r="Y80" s="48">
        <f>SUM(N78:Y78)</f>
        <v>5787423.22105263</v>
      </c>
      <c r="AJ80" s="64" t="s">
        <v>128</v>
      </c>
      <c r="AK80" s="30">
        <f>SUM(Z78:AK78)</f>
        <v>9972955.799999997</v>
      </c>
    </row>
    <row r="81" ht="12.75">
      <c r="AA81" s="62"/>
    </row>
    <row r="83" spans="27:53" ht="12.75">
      <c r="AA83" s="48"/>
      <c r="AC83" s="48"/>
      <c r="AM83" s="48"/>
      <c r="AO83" s="48"/>
      <c r="AY83" s="48"/>
      <c r="BA83" s="48"/>
    </row>
  </sheetData>
  <mergeCells count="2">
    <mergeCell ref="A2:B2"/>
    <mergeCell ref="A4:B4"/>
  </mergeCells>
  <hyperlinks>
    <hyperlink ref="F19" r:id="rId1" display="http://www.boston.com/business/globe/articles/2007/11/06/online_figures/"/>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2:AR62"/>
  <sheetViews>
    <sheetView zoomScale="110" zoomScaleNormal="110" workbookViewId="0" topLeftCell="A1">
      <pane xSplit="3" ySplit="4" topLeftCell="D5" activePane="bottomRight" state="frozen"/>
      <selection pane="topLeft" activeCell="A1" sqref="A1"/>
      <selection pane="topRight" activeCell="D1" sqref="D1"/>
      <selection pane="bottomLeft" activeCell="A12" sqref="A12"/>
      <selection pane="bottomRight" activeCell="B1" sqref="B1"/>
    </sheetView>
  </sheetViews>
  <sheetFormatPr defaultColWidth="8.8515625" defaultRowHeight="12.75"/>
  <cols>
    <col min="1" max="1" width="17.8515625" style="25" bestFit="1" customWidth="1"/>
    <col min="2" max="2" width="23.28125" style="25" bestFit="1" customWidth="1"/>
    <col min="3" max="3" width="21.8515625" style="25" bestFit="1" customWidth="1"/>
    <col min="4" max="4" width="11.140625" style="25" bestFit="1" customWidth="1"/>
    <col min="5" max="7" width="12.8515625" style="25" bestFit="1" customWidth="1"/>
    <col min="8" max="8" width="1.7109375" style="25" customWidth="1"/>
    <col min="9" max="44" width="11.140625" style="25" bestFit="1" customWidth="1"/>
    <col min="45" max="16384" width="11.421875" style="25" customWidth="1"/>
  </cols>
  <sheetData>
    <row r="1" ht="13.5" thickBot="1"/>
    <row r="2" spans="1:44" ht="12.75">
      <c r="A2" s="99" t="s">
        <v>213</v>
      </c>
      <c r="D2" s="100"/>
      <c r="E2" s="101"/>
      <c r="F2" s="101"/>
      <c r="G2" s="102"/>
      <c r="H2" s="142"/>
      <c r="I2" s="53" t="s">
        <v>319</v>
      </c>
      <c r="J2" s="54"/>
      <c r="K2" s="54"/>
      <c r="L2" s="54"/>
      <c r="M2" s="54"/>
      <c r="N2" s="54"/>
      <c r="O2" s="54"/>
      <c r="P2" s="54"/>
      <c r="Q2" s="54"/>
      <c r="R2" s="54"/>
      <c r="S2" s="54"/>
      <c r="T2" s="39"/>
      <c r="U2" s="53" t="s">
        <v>320</v>
      </c>
      <c r="V2" s="54"/>
      <c r="W2" s="54"/>
      <c r="X2" s="54"/>
      <c r="Y2" s="54"/>
      <c r="Z2" s="54"/>
      <c r="AA2" s="54"/>
      <c r="AB2" s="54"/>
      <c r="AC2" s="54"/>
      <c r="AD2" s="54"/>
      <c r="AE2" s="54"/>
      <c r="AF2" s="39"/>
      <c r="AG2" s="53" t="s">
        <v>321</v>
      </c>
      <c r="AH2" s="54"/>
      <c r="AI2" s="54"/>
      <c r="AJ2" s="54"/>
      <c r="AK2" s="54"/>
      <c r="AL2" s="54"/>
      <c r="AM2" s="54"/>
      <c r="AN2" s="54"/>
      <c r="AO2" s="54"/>
      <c r="AP2" s="54"/>
      <c r="AQ2" s="54"/>
      <c r="AR2" s="39"/>
    </row>
    <row r="3" spans="4:44" ht="12.75">
      <c r="D3" s="104" t="s">
        <v>317</v>
      </c>
      <c r="E3" s="55" t="s">
        <v>319</v>
      </c>
      <c r="F3" s="55" t="s">
        <v>320</v>
      </c>
      <c r="G3" s="105" t="s">
        <v>321</v>
      </c>
      <c r="H3" s="142"/>
      <c r="I3" s="40" t="s">
        <v>323</v>
      </c>
      <c r="J3" s="41" t="s">
        <v>324</v>
      </c>
      <c r="K3" s="41" t="s">
        <v>325</v>
      </c>
      <c r="L3" s="41" t="s">
        <v>326</v>
      </c>
      <c r="M3" s="41" t="s">
        <v>130</v>
      </c>
      <c r="N3" s="41" t="s">
        <v>131</v>
      </c>
      <c r="O3" s="41" t="s">
        <v>132</v>
      </c>
      <c r="P3" s="41" t="s">
        <v>133</v>
      </c>
      <c r="Q3" s="41" t="s">
        <v>134</v>
      </c>
      <c r="R3" s="41" t="s">
        <v>135</v>
      </c>
      <c r="S3" s="41" t="s">
        <v>136</v>
      </c>
      <c r="T3" s="41" t="s">
        <v>137</v>
      </c>
      <c r="U3" s="40" t="s">
        <v>323</v>
      </c>
      <c r="V3" s="41" t="s">
        <v>324</v>
      </c>
      <c r="W3" s="41" t="s">
        <v>325</v>
      </c>
      <c r="X3" s="41" t="s">
        <v>326</v>
      </c>
      <c r="Y3" s="41" t="s">
        <v>130</v>
      </c>
      <c r="Z3" s="41" t="s">
        <v>131</v>
      </c>
      <c r="AA3" s="41" t="s">
        <v>132</v>
      </c>
      <c r="AB3" s="41" t="s">
        <v>133</v>
      </c>
      <c r="AC3" s="41" t="s">
        <v>134</v>
      </c>
      <c r="AD3" s="41" t="s">
        <v>135</v>
      </c>
      <c r="AE3" s="41" t="s">
        <v>136</v>
      </c>
      <c r="AF3" s="41" t="s">
        <v>137</v>
      </c>
      <c r="AG3" s="42" t="s">
        <v>323</v>
      </c>
      <c r="AH3" s="43" t="s">
        <v>324</v>
      </c>
      <c r="AI3" s="43" t="s">
        <v>325</v>
      </c>
      <c r="AJ3" s="43" t="s">
        <v>326</v>
      </c>
      <c r="AK3" s="43" t="s">
        <v>130</v>
      </c>
      <c r="AL3" s="43" t="s">
        <v>131</v>
      </c>
      <c r="AM3" s="43" t="s">
        <v>132</v>
      </c>
      <c r="AN3" s="43" t="s">
        <v>133</v>
      </c>
      <c r="AO3" s="43" t="s">
        <v>134</v>
      </c>
      <c r="AP3" s="43" t="s">
        <v>135</v>
      </c>
      <c r="AQ3" s="43" t="s">
        <v>136</v>
      </c>
      <c r="AR3" s="106" t="s">
        <v>137</v>
      </c>
    </row>
    <row r="4" spans="4:44" ht="12.75">
      <c r="D4" s="104"/>
      <c r="E4" s="26"/>
      <c r="F4" s="26"/>
      <c r="G4" s="107"/>
      <c r="H4" s="142"/>
      <c r="I4" s="32"/>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108"/>
    </row>
    <row r="5" spans="1:44" ht="12.75" customHeight="1">
      <c r="A5" s="60" t="s">
        <v>317</v>
      </c>
      <c r="B5" s="60"/>
      <c r="C5" s="103"/>
      <c r="D5" s="109"/>
      <c r="E5" s="23"/>
      <c r="F5" s="23"/>
      <c r="G5" s="110"/>
      <c r="H5" s="143"/>
      <c r="I5" s="111"/>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112"/>
    </row>
    <row r="6" spans="2:44" ht="12.75">
      <c r="B6" s="25" t="s">
        <v>75</v>
      </c>
      <c r="C6" s="113"/>
      <c r="D6" s="114">
        <f>D37</f>
        <v>300000</v>
      </c>
      <c r="E6" s="23"/>
      <c r="F6" s="23"/>
      <c r="G6" s="110"/>
      <c r="H6" s="143"/>
      <c r="I6" s="111"/>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112"/>
    </row>
    <row r="7" spans="2:44" ht="12.75">
      <c r="B7" s="25" t="s">
        <v>76</v>
      </c>
      <c r="C7" s="113"/>
      <c r="D7" s="114">
        <f>D38*Staffing!B87</f>
        <v>40000</v>
      </c>
      <c r="E7" s="23"/>
      <c r="F7" s="23"/>
      <c r="G7" s="110"/>
      <c r="H7" s="143"/>
      <c r="I7" s="111"/>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112"/>
    </row>
    <row r="8" spans="3:44" ht="12.75">
      <c r="C8" s="113"/>
      <c r="D8" s="114"/>
      <c r="E8" s="23"/>
      <c r="F8" s="23"/>
      <c r="G8" s="110"/>
      <c r="H8" s="143"/>
      <c r="I8" s="111"/>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112"/>
    </row>
    <row r="9" spans="1:44" ht="12.75">
      <c r="A9" s="146" t="s">
        <v>314</v>
      </c>
      <c r="B9" s="103"/>
      <c r="C9" s="103"/>
      <c r="D9" s="109"/>
      <c r="E9" s="23"/>
      <c r="F9" s="23"/>
      <c r="G9" s="110"/>
      <c r="H9" s="143"/>
      <c r="I9" s="111"/>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112"/>
    </row>
    <row r="10" spans="1:44" s="26" customFormat="1" ht="12.75">
      <c r="A10" s="46"/>
      <c r="B10" s="45" t="s">
        <v>144</v>
      </c>
      <c r="D10" s="109"/>
      <c r="E10" s="23">
        <f>Staffing!K63</f>
        <v>2535000</v>
      </c>
      <c r="F10" s="23">
        <f>Staffing!L63</f>
        <v>3082950</v>
      </c>
      <c r="G10" s="110">
        <f>Staffing!M63</f>
        <v>3651803.999999999</v>
      </c>
      <c r="H10" s="144"/>
      <c r="I10" s="111">
        <f>Staffing!AZ63</f>
        <v>211250</v>
      </c>
      <c r="J10" s="23">
        <f>Staffing!BA63</f>
        <v>211250</v>
      </c>
      <c r="K10" s="23">
        <f>Staffing!BB63</f>
        <v>211250</v>
      </c>
      <c r="L10" s="23">
        <f>Staffing!BC63</f>
        <v>211250</v>
      </c>
      <c r="M10" s="23">
        <f>Staffing!BD63</f>
        <v>211250</v>
      </c>
      <c r="N10" s="23">
        <f>Staffing!BE63</f>
        <v>211250</v>
      </c>
      <c r="O10" s="23">
        <f>Staffing!BF63</f>
        <v>211250</v>
      </c>
      <c r="P10" s="23">
        <f>Staffing!BG63</f>
        <v>211250</v>
      </c>
      <c r="Q10" s="23">
        <f>Staffing!BH63</f>
        <v>211250</v>
      </c>
      <c r="R10" s="23">
        <f>Staffing!BI63</f>
        <v>211250</v>
      </c>
      <c r="S10" s="23">
        <f>Staffing!BJ63</f>
        <v>211250</v>
      </c>
      <c r="T10" s="23">
        <f>Staffing!BK63</f>
        <v>211250</v>
      </c>
      <c r="U10" s="23">
        <f>Staffing!BL63</f>
        <v>256912.5</v>
      </c>
      <c r="V10" s="23">
        <f>Staffing!BM63</f>
        <v>256912.5</v>
      </c>
      <c r="W10" s="23">
        <f>Staffing!BN63</f>
        <v>256912.5</v>
      </c>
      <c r="X10" s="23">
        <f>Staffing!BO63</f>
        <v>256912.5</v>
      </c>
      <c r="Y10" s="23">
        <f>Staffing!BP63</f>
        <v>256912.5</v>
      </c>
      <c r="Z10" s="23">
        <f>Staffing!BQ63</f>
        <v>256912.5</v>
      </c>
      <c r="AA10" s="23">
        <f>Staffing!BR63</f>
        <v>256912.5</v>
      </c>
      <c r="AB10" s="23">
        <f>Staffing!BS63</f>
        <v>256912.5</v>
      </c>
      <c r="AC10" s="23">
        <f>Staffing!BT63</f>
        <v>256912.5</v>
      </c>
      <c r="AD10" s="23">
        <f>Staffing!BU63</f>
        <v>256912.5</v>
      </c>
      <c r="AE10" s="23">
        <f>Staffing!BV63</f>
        <v>256912.5</v>
      </c>
      <c r="AF10" s="23">
        <f>Staffing!BW63</f>
        <v>256912.5</v>
      </c>
      <c r="AG10" s="23">
        <f>Staffing!BX63</f>
        <v>304317</v>
      </c>
      <c r="AH10" s="23">
        <f>Staffing!BY63</f>
        <v>304317</v>
      </c>
      <c r="AI10" s="23">
        <f>Staffing!BZ63</f>
        <v>304317</v>
      </c>
      <c r="AJ10" s="23">
        <f>Staffing!CA63</f>
        <v>304317</v>
      </c>
      <c r="AK10" s="23">
        <f>Staffing!CB63</f>
        <v>304317</v>
      </c>
      <c r="AL10" s="23">
        <f>Staffing!CC63</f>
        <v>304317</v>
      </c>
      <c r="AM10" s="23">
        <f>Staffing!CD63</f>
        <v>304317</v>
      </c>
      <c r="AN10" s="23">
        <f>Staffing!CE63</f>
        <v>304317</v>
      </c>
      <c r="AO10" s="23">
        <f>Staffing!CF63</f>
        <v>304317</v>
      </c>
      <c r="AP10" s="23">
        <f>Staffing!CG63</f>
        <v>304317</v>
      </c>
      <c r="AQ10" s="23">
        <f>Staffing!CH63</f>
        <v>304317</v>
      </c>
      <c r="AR10" s="112">
        <f>Staffing!CI63</f>
        <v>304317</v>
      </c>
    </row>
    <row r="11" spans="1:44" s="26" customFormat="1" ht="12.75">
      <c r="A11" s="46"/>
      <c r="B11" s="45" t="s">
        <v>203</v>
      </c>
      <c r="D11" s="109"/>
      <c r="E11" s="23">
        <f>Staffing!K77</f>
        <v>487500</v>
      </c>
      <c r="F11" s="23">
        <f>Staffing!L77</f>
        <v>497250</v>
      </c>
      <c r="G11" s="110">
        <f>Staffing!M77</f>
        <v>507195.00000000006</v>
      </c>
      <c r="H11" s="144"/>
      <c r="I11" s="111">
        <f>Staffing!AZ77</f>
        <v>40625</v>
      </c>
      <c r="J11" s="23">
        <f>Staffing!BA77</f>
        <v>40625</v>
      </c>
      <c r="K11" s="23">
        <f>Staffing!BB77</f>
        <v>40625</v>
      </c>
      <c r="L11" s="23">
        <f>Staffing!BC77</f>
        <v>40625</v>
      </c>
      <c r="M11" s="23">
        <f>Staffing!BD77</f>
        <v>40625</v>
      </c>
      <c r="N11" s="23">
        <f>Staffing!BE77</f>
        <v>40625</v>
      </c>
      <c r="O11" s="23">
        <f>Staffing!BF77</f>
        <v>40625</v>
      </c>
      <c r="P11" s="23">
        <f>Staffing!BG77</f>
        <v>40625</v>
      </c>
      <c r="Q11" s="23">
        <f>Staffing!BH77</f>
        <v>40625</v>
      </c>
      <c r="R11" s="23">
        <f>Staffing!BI77</f>
        <v>40625</v>
      </c>
      <c r="S11" s="23">
        <f>Staffing!BJ77</f>
        <v>40625</v>
      </c>
      <c r="T11" s="23">
        <f>Staffing!BK77</f>
        <v>40625</v>
      </c>
      <c r="U11" s="23">
        <f>Staffing!BL77</f>
        <v>41437.5</v>
      </c>
      <c r="V11" s="23">
        <f>Staffing!BM77</f>
        <v>41437.5</v>
      </c>
      <c r="W11" s="23">
        <f>Staffing!BN77</f>
        <v>41437.5</v>
      </c>
      <c r="X11" s="23">
        <f>Staffing!BO77</f>
        <v>41437.5</v>
      </c>
      <c r="Y11" s="23">
        <f>Staffing!BP77</f>
        <v>41437.5</v>
      </c>
      <c r="Z11" s="23">
        <f>Staffing!BQ77</f>
        <v>41437.5</v>
      </c>
      <c r="AA11" s="23">
        <f>Staffing!BR77</f>
        <v>41437.5</v>
      </c>
      <c r="AB11" s="23">
        <f>Staffing!BS77</f>
        <v>41437.5</v>
      </c>
      <c r="AC11" s="23">
        <f>Staffing!BT77</f>
        <v>41437.5</v>
      </c>
      <c r="AD11" s="23">
        <f>Staffing!BU77</f>
        <v>41437.5</v>
      </c>
      <c r="AE11" s="23">
        <f>Staffing!BV77</f>
        <v>41437.5</v>
      </c>
      <c r="AF11" s="23">
        <f>Staffing!BW77</f>
        <v>41437.5</v>
      </c>
      <c r="AG11" s="23">
        <f>Staffing!BX77</f>
        <v>42266.25</v>
      </c>
      <c r="AH11" s="23">
        <f>Staffing!BY77</f>
        <v>42266.25</v>
      </c>
      <c r="AI11" s="23">
        <f>Staffing!BZ77</f>
        <v>42266.25</v>
      </c>
      <c r="AJ11" s="23">
        <f>Staffing!CA77</f>
        <v>42266.25</v>
      </c>
      <c r="AK11" s="23">
        <f>Staffing!CB77</f>
        <v>42266.25</v>
      </c>
      <c r="AL11" s="23">
        <f>Staffing!CC77</f>
        <v>42266.25</v>
      </c>
      <c r="AM11" s="23">
        <f>Staffing!CD77</f>
        <v>42266.25</v>
      </c>
      <c r="AN11" s="23">
        <f>Staffing!CE77</f>
        <v>42266.25</v>
      </c>
      <c r="AO11" s="23">
        <f>Staffing!CF77</f>
        <v>42266.25</v>
      </c>
      <c r="AP11" s="23">
        <f>Staffing!CG77</f>
        <v>42266.25</v>
      </c>
      <c r="AQ11" s="23">
        <f>Staffing!CH77</f>
        <v>42266.25</v>
      </c>
      <c r="AR11" s="112">
        <f>Staffing!CI77</f>
        <v>42266.25</v>
      </c>
    </row>
    <row r="12" spans="1:44" s="52" customFormat="1" ht="12.75">
      <c r="A12" s="51"/>
      <c r="B12" s="34" t="s">
        <v>265</v>
      </c>
      <c r="D12" s="115"/>
      <c r="E12" s="116">
        <f>Staffing!K84</f>
        <v>292500</v>
      </c>
      <c r="F12" s="116">
        <f>Staffing!L84</f>
        <v>298350</v>
      </c>
      <c r="G12" s="117">
        <f>Staffing!M84</f>
        <v>304317.00000000006</v>
      </c>
      <c r="H12" s="145"/>
      <c r="I12" s="118">
        <f>Staffing!AZ84</f>
        <v>24375</v>
      </c>
      <c r="J12" s="116">
        <f>Staffing!BA84</f>
        <v>24375</v>
      </c>
      <c r="K12" s="116">
        <f>Staffing!BB84</f>
        <v>24375</v>
      </c>
      <c r="L12" s="116">
        <f>Staffing!BC84</f>
        <v>24375</v>
      </c>
      <c r="M12" s="116">
        <f>Staffing!BD84</f>
        <v>24375</v>
      </c>
      <c r="N12" s="116">
        <f>Staffing!BE84</f>
        <v>24375</v>
      </c>
      <c r="O12" s="116">
        <f>Staffing!BF84</f>
        <v>24375</v>
      </c>
      <c r="P12" s="116">
        <f>Staffing!BG84</f>
        <v>24375</v>
      </c>
      <c r="Q12" s="116">
        <f>Staffing!BH84</f>
        <v>24375</v>
      </c>
      <c r="R12" s="116">
        <f>Staffing!BI84</f>
        <v>24375</v>
      </c>
      <c r="S12" s="116">
        <f>Staffing!BJ84</f>
        <v>24375</v>
      </c>
      <c r="T12" s="116">
        <f>Staffing!BK84</f>
        <v>24375</v>
      </c>
      <c r="U12" s="116">
        <f>Staffing!BL84</f>
        <v>24862.5</v>
      </c>
      <c r="V12" s="116">
        <f>Staffing!BM84</f>
        <v>24862.5</v>
      </c>
      <c r="W12" s="116">
        <f>Staffing!BN84</f>
        <v>24862.5</v>
      </c>
      <c r="X12" s="116">
        <f>Staffing!BO84</f>
        <v>24862.5</v>
      </c>
      <c r="Y12" s="116">
        <f>Staffing!BP84</f>
        <v>24862.5</v>
      </c>
      <c r="Z12" s="116">
        <f>Staffing!BQ84</f>
        <v>24862.5</v>
      </c>
      <c r="AA12" s="116">
        <f>Staffing!BR84</f>
        <v>24862.5</v>
      </c>
      <c r="AB12" s="116">
        <f>Staffing!BS84</f>
        <v>24862.5</v>
      </c>
      <c r="AC12" s="116">
        <f>Staffing!BT84</f>
        <v>24862.5</v>
      </c>
      <c r="AD12" s="116">
        <f>Staffing!BU84</f>
        <v>24862.5</v>
      </c>
      <c r="AE12" s="116">
        <f>Staffing!BV84</f>
        <v>24862.5</v>
      </c>
      <c r="AF12" s="116">
        <f>Staffing!BW84</f>
        <v>24862.5</v>
      </c>
      <c r="AG12" s="116">
        <f>Staffing!BX84</f>
        <v>25359.75</v>
      </c>
      <c r="AH12" s="116">
        <f>Staffing!BY84</f>
        <v>25359.75</v>
      </c>
      <c r="AI12" s="116">
        <f>Staffing!BZ84</f>
        <v>25359.75</v>
      </c>
      <c r="AJ12" s="116">
        <f>Staffing!CA84</f>
        <v>25359.75</v>
      </c>
      <c r="AK12" s="116">
        <f>Staffing!CB84</f>
        <v>25359.75</v>
      </c>
      <c r="AL12" s="116">
        <f>Staffing!CC84</f>
        <v>25359.75</v>
      </c>
      <c r="AM12" s="116">
        <f>Staffing!CD84</f>
        <v>25359.75</v>
      </c>
      <c r="AN12" s="116">
        <f>Staffing!CE84</f>
        <v>25359.75</v>
      </c>
      <c r="AO12" s="116">
        <f>Staffing!CF84</f>
        <v>25359.75</v>
      </c>
      <c r="AP12" s="116">
        <f>Staffing!CG84</f>
        <v>25359.75</v>
      </c>
      <c r="AQ12" s="116">
        <f>Staffing!CH84</f>
        <v>25359.75</v>
      </c>
      <c r="AR12" s="119">
        <f>Staffing!CI84</f>
        <v>25359.75</v>
      </c>
    </row>
    <row r="13" spans="1:44" ht="12.75">
      <c r="A13" s="50" t="s">
        <v>315</v>
      </c>
      <c r="D13" s="109"/>
      <c r="E13" s="120">
        <f>SUM(E10:E12)</f>
        <v>3315000</v>
      </c>
      <c r="F13" s="120">
        <f>SUM(F10:F12)</f>
        <v>3878550</v>
      </c>
      <c r="G13" s="121">
        <f>SUM(G10:G12)</f>
        <v>4463315.999999999</v>
      </c>
      <c r="H13" s="143"/>
      <c r="I13" s="122">
        <f aca="true" t="shared" si="0" ref="I13:AP13">SUM(I10:I12)</f>
        <v>276250</v>
      </c>
      <c r="J13" s="23">
        <f t="shared" si="0"/>
        <v>276250</v>
      </c>
      <c r="K13" s="23">
        <f t="shared" si="0"/>
        <v>276250</v>
      </c>
      <c r="L13" s="23">
        <f t="shared" si="0"/>
        <v>276250</v>
      </c>
      <c r="M13" s="23">
        <f t="shared" si="0"/>
        <v>276250</v>
      </c>
      <c r="N13" s="23">
        <f t="shared" si="0"/>
        <v>276250</v>
      </c>
      <c r="O13" s="23">
        <f t="shared" si="0"/>
        <v>276250</v>
      </c>
      <c r="P13" s="23">
        <f t="shared" si="0"/>
        <v>276250</v>
      </c>
      <c r="Q13" s="23">
        <f t="shared" si="0"/>
        <v>276250</v>
      </c>
      <c r="R13" s="23">
        <f t="shared" si="0"/>
        <v>276250</v>
      </c>
      <c r="S13" s="23">
        <f t="shared" si="0"/>
        <v>276250</v>
      </c>
      <c r="T13" s="23">
        <f t="shared" si="0"/>
        <v>276250</v>
      </c>
      <c r="U13" s="23">
        <f t="shared" si="0"/>
        <v>323212.5</v>
      </c>
      <c r="V13" s="23">
        <f t="shared" si="0"/>
        <v>323212.5</v>
      </c>
      <c r="W13" s="23">
        <f t="shared" si="0"/>
        <v>323212.5</v>
      </c>
      <c r="X13" s="23">
        <f t="shared" si="0"/>
        <v>323212.5</v>
      </c>
      <c r="Y13" s="23">
        <f t="shared" si="0"/>
        <v>323212.5</v>
      </c>
      <c r="Z13" s="23">
        <f t="shared" si="0"/>
        <v>323212.5</v>
      </c>
      <c r="AA13" s="23">
        <f t="shared" si="0"/>
        <v>323212.5</v>
      </c>
      <c r="AB13" s="23">
        <f t="shared" si="0"/>
        <v>323212.5</v>
      </c>
      <c r="AC13" s="23">
        <f t="shared" si="0"/>
        <v>323212.5</v>
      </c>
      <c r="AD13" s="23">
        <f t="shared" si="0"/>
        <v>323212.5</v>
      </c>
      <c r="AE13" s="23">
        <f t="shared" si="0"/>
        <v>323212.5</v>
      </c>
      <c r="AF13" s="23">
        <f t="shared" si="0"/>
        <v>323212.5</v>
      </c>
      <c r="AG13" s="23">
        <f t="shared" si="0"/>
        <v>371943</v>
      </c>
      <c r="AH13" s="23">
        <f t="shared" si="0"/>
        <v>371943</v>
      </c>
      <c r="AI13" s="23">
        <f t="shared" si="0"/>
        <v>371943</v>
      </c>
      <c r="AJ13" s="23">
        <f t="shared" si="0"/>
        <v>371943</v>
      </c>
      <c r="AK13" s="23">
        <f t="shared" si="0"/>
        <v>371943</v>
      </c>
      <c r="AL13" s="23">
        <f t="shared" si="0"/>
        <v>371943</v>
      </c>
      <c r="AM13" s="23">
        <f t="shared" si="0"/>
        <v>371943</v>
      </c>
      <c r="AN13" s="23">
        <f t="shared" si="0"/>
        <v>371943</v>
      </c>
      <c r="AO13" s="23">
        <f t="shared" si="0"/>
        <v>371943</v>
      </c>
      <c r="AP13" s="23">
        <f t="shared" si="0"/>
        <v>371943</v>
      </c>
      <c r="AQ13" s="23">
        <f>SUM(AQ10:AQ12)</f>
        <v>371943</v>
      </c>
      <c r="AR13" s="112">
        <f>SUM(AR10:AR12)</f>
        <v>371943</v>
      </c>
    </row>
    <row r="14" spans="1:44" ht="12.75">
      <c r="A14" s="46"/>
      <c r="D14" s="109"/>
      <c r="E14" s="23"/>
      <c r="F14" s="23"/>
      <c r="G14" s="110"/>
      <c r="H14" s="143"/>
      <c r="I14" s="111"/>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112"/>
    </row>
    <row r="15" spans="1:44" ht="12.75">
      <c r="A15" s="146" t="s">
        <v>195</v>
      </c>
      <c r="B15" s="103"/>
      <c r="C15" s="103"/>
      <c r="D15" s="109"/>
      <c r="E15" s="23"/>
      <c r="F15" s="23"/>
      <c r="G15" s="110"/>
      <c r="H15" s="143"/>
      <c r="I15" s="111"/>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112"/>
    </row>
    <row r="16" spans="2:44" s="52" customFormat="1" ht="12.75">
      <c r="B16" s="34" t="s">
        <v>204</v>
      </c>
      <c r="D16" s="115"/>
      <c r="E16" s="116">
        <f>E41*E42</f>
        <v>400000</v>
      </c>
      <c r="F16" s="116">
        <f>F41*F42</f>
        <v>400000</v>
      </c>
      <c r="G16" s="117">
        <f>G41*G42</f>
        <v>400000</v>
      </c>
      <c r="H16" s="145"/>
      <c r="I16" s="118">
        <f>E16/12</f>
        <v>33333.333333333336</v>
      </c>
      <c r="J16" s="116">
        <f aca="true" t="shared" si="1" ref="J16:T16">$E$16/12</f>
        <v>33333.333333333336</v>
      </c>
      <c r="K16" s="116">
        <f t="shared" si="1"/>
        <v>33333.333333333336</v>
      </c>
      <c r="L16" s="116">
        <f t="shared" si="1"/>
        <v>33333.333333333336</v>
      </c>
      <c r="M16" s="116">
        <f t="shared" si="1"/>
        <v>33333.333333333336</v>
      </c>
      <c r="N16" s="116">
        <f t="shared" si="1"/>
        <v>33333.333333333336</v>
      </c>
      <c r="O16" s="116">
        <f t="shared" si="1"/>
        <v>33333.333333333336</v>
      </c>
      <c r="P16" s="116">
        <f t="shared" si="1"/>
        <v>33333.333333333336</v>
      </c>
      <c r="Q16" s="116">
        <f t="shared" si="1"/>
        <v>33333.333333333336</v>
      </c>
      <c r="R16" s="116">
        <f t="shared" si="1"/>
        <v>33333.333333333336</v>
      </c>
      <c r="S16" s="116">
        <f t="shared" si="1"/>
        <v>33333.333333333336</v>
      </c>
      <c r="T16" s="116">
        <f t="shared" si="1"/>
        <v>33333.333333333336</v>
      </c>
      <c r="U16" s="116">
        <f aca="true" t="shared" si="2" ref="U16:AF16">$F$16/12</f>
        <v>33333.333333333336</v>
      </c>
      <c r="V16" s="116">
        <f t="shared" si="2"/>
        <v>33333.333333333336</v>
      </c>
      <c r="W16" s="116">
        <f t="shared" si="2"/>
        <v>33333.333333333336</v>
      </c>
      <c r="X16" s="116">
        <f t="shared" si="2"/>
        <v>33333.333333333336</v>
      </c>
      <c r="Y16" s="116">
        <f t="shared" si="2"/>
        <v>33333.333333333336</v>
      </c>
      <c r="Z16" s="116">
        <f t="shared" si="2"/>
        <v>33333.333333333336</v>
      </c>
      <c r="AA16" s="116">
        <f t="shared" si="2"/>
        <v>33333.333333333336</v>
      </c>
      <c r="AB16" s="116">
        <f t="shared" si="2"/>
        <v>33333.333333333336</v>
      </c>
      <c r="AC16" s="116">
        <f t="shared" si="2"/>
        <v>33333.333333333336</v>
      </c>
      <c r="AD16" s="116">
        <f t="shared" si="2"/>
        <v>33333.333333333336</v>
      </c>
      <c r="AE16" s="116">
        <f t="shared" si="2"/>
        <v>33333.333333333336</v>
      </c>
      <c r="AF16" s="116">
        <f t="shared" si="2"/>
        <v>33333.333333333336</v>
      </c>
      <c r="AG16" s="116">
        <f aca="true" t="shared" si="3" ref="AG16:AR16">$G$16/12</f>
        <v>33333.333333333336</v>
      </c>
      <c r="AH16" s="116">
        <f t="shared" si="3"/>
        <v>33333.333333333336</v>
      </c>
      <c r="AI16" s="116">
        <f t="shared" si="3"/>
        <v>33333.333333333336</v>
      </c>
      <c r="AJ16" s="116">
        <f t="shared" si="3"/>
        <v>33333.333333333336</v>
      </c>
      <c r="AK16" s="116">
        <f t="shared" si="3"/>
        <v>33333.333333333336</v>
      </c>
      <c r="AL16" s="116">
        <f t="shared" si="3"/>
        <v>33333.333333333336</v>
      </c>
      <c r="AM16" s="116">
        <f t="shared" si="3"/>
        <v>33333.333333333336</v>
      </c>
      <c r="AN16" s="116">
        <f t="shared" si="3"/>
        <v>33333.333333333336</v>
      </c>
      <c r="AO16" s="116">
        <f t="shared" si="3"/>
        <v>33333.333333333336</v>
      </c>
      <c r="AP16" s="116">
        <f t="shared" si="3"/>
        <v>33333.333333333336</v>
      </c>
      <c r="AQ16" s="116">
        <f t="shared" si="3"/>
        <v>33333.333333333336</v>
      </c>
      <c r="AR16" s="119">
        <f t="shared" si="3"/>
        <v>33333.333333333336</v>
      </c>
    </row>
    <row r="17" spans="1:44" ht="12.75">
      <c r="A17" s="25" t="s">
        <v>315</v>
      </c>
      <c r="D17" s="109"/>
      <c r="E17" s="23">
        <f>SUM(E16:E16)</f>
        <v>400000</v>
      </c>
      <c r="F17" s="23">
        <f>SUM(F16:F16)</f>
        <v>400000</v>
      </c>
      <c r="G17" s="110">
        <f>SUM(G16:G16)</f>
        <v>400000</v>
      </c>
      <c r="H17" s="143"/>
      <c r="I17" s="111">
        <f aca="true" t="shared" si="4" ref="I17:AR17">SUM(I16:I16)</f>
        <v>33333.333333333336</v>
      </c>
      <c r="J17" s="23">
        <f t="shared" si="4"/>
        <v>33333.333333333336</v>
      </c>
      <c r="K17" s="23">
        <f t="shared" si="4"/>
        <v>33333.333333333336</v>
      </c>
      <c r="L17" s="23">
        <f t="shared" si="4"/>
        <v>33333.333333333336</v>
      </c>
      <c r="M17" s="23">
        <f t="shared" si="4"/>
        <v>33333.333333333336</v>
      </c>
      <c r="N17" s="23">
        <f t="shared" si="4"/>
        <v>33333.333333333336</v>
      </c>
      <c r="O17" s="23">
        <f t="shared" si="4"/>
        <v>33333.333333333336</v>
      </c>
      <c r="P17" s="23">
        <f t="shared" si="4"/>
        <v>33333.333333333336</v>
      </c>
      <c r="Q17" s="23">
        <f t="shared" si="4"/>
        <v>33333.333333333336</v>
      </c>
      <c r="R17" s="23">
        <f t="shared" si="4"/>
        <v>33333.333333333336</v>
      </c>
      <c r="S17" s="23">
        <f t="shared" si="4"/>
        <v>33333.333333333336</v>
      </c>
      <c r="T17" s="23">
        <f t="shared" si="4"/>
        <v>33333.333333333336</v>
      </c>
      <c r="U17" s="23">
        <f t="shared" si="4"/>
        <v>33333.333333333336</v>
      </c>
      <c r="V17" s="23">
        <f t="shared" si="4"/>
        <v>33333.333333333336</v>
      </c>
      <c r="W17" s="23">
        <f t="shared" si="4"/>
        <v>33333.333333333336</v>
      </c>
      <c r="X17" s="23">
        <f t="shared" si="4"/>
        <v>33333.333333333336</v>
      </c>
      <c r="Y17" s="23">
        <f t="shared" si="4"/>
        <v>33333.333333333336</v>
      </c>
      <c r="Z17" s="23">
        <f t="shared" si="4"/>
        <v>33333.333333333336</v>
      </c>
      <c r="AA17" s="23">
        <f t="shared" si="4"/>
        <v>33333.333333333336</v>
      </c>
      <c r="AB17" s="23">
        <f t="shared" si="4"/>
        <v>33333.333333333336</v>
      </c>
      <c r="AC17" s="23">
        <f t="shared" si="4"/>
        <v>33333.333333333336</v>
      </c>
      <c r="AD17" s="23">
        <f t="shared" si="4"/>
        <v>33333.333333333336</v>
      </c>
      <c r="AE17" s="23">
        <f t="shared" si="4"/>
        <v>33333.333333333336</v>
      </c>
      <c r="AF17" s="23">
        <f t="shared" si="4"/>
        <v>33333.333333333336</v>
      </c>
      <c r="AG17" s="23">
        <f t="shared" si="4"/>
        <v>33333.333333333336</v>
      </c>
      <c r="AH17" s="23">
        <f t="shared" si="4"/>
        <v>33333.333333333336</v>
      </c>
      <c r="AI17" s="23">
        <f t="shared" si="4"/>
        <v>33333.333333333336</v>
      </c>
      <c r="AJ17" s="23">
        <f t="shared" si="4"/>
        <v>33333.333333333336</v>
      </c>
      <c r="AK17" s="23">
        <f t="shared" si="4"/>
        <v>33333.333333333336</v>
      </c>
      <c r="AL17" s="23">
        <f t="shared" si="4"/>
        <v>33333.333333333336</v>
      </c>
      <c r="AM17" s="23">
        <f t="shared" si="4"/>
        <v>33333.333333333336</v>
      </c>
      <c r="AN17" s="23">
        <f t="shared" si="4"/>
        <v>33333.333333333336</v>
      </c>
      <c r="AO17" s="23">
        <f t="shared" si="4"/>
        <v>33333.333333333336</v>
      </c>
      <c r="AP17" s="23">
        <f t="shared" si="4"/>
        <v>33333.333333333336</v>
      </c>
      <c r="AQ17" s="23">
        <f t="shared" si="4"/>
        <v>33333.333333333336</v>
      </c>
      <c r="AR17" s="112">
        <f t="shared" si="4"/>
        <v>33333.333333333336</v>
      </c>
    </row>
    <row r="18" spans="4:44" ht="12.75">
      <c r="D18" s="109"/>
      <c r="E18" s="23"/>
      <c r="F18" s="23"/>
      <c r="G18" s="110"/>
      <c r="H18" s="143"/>
      <c r="I18" s="111"/>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112"/>
    </row>
    <row r="19" spans="1:44" ht="12.75">
      <c r="A19" s="103" t="s">
        <v>148</v>
      </c>
      <c r="B19" s="103"/>
      <c r="C19" s="103"/>
      <c r="D19" s="109"/>
      <c r="E19" s="23"/>
      <c r="F19" s="23"/>
      <c r="G19" s="110"/>
      <c r="H19" s="143"/>
      <c r="I19" s="111"/>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112"/>
    </row>
    <row r="20" spans="2:44" s="26" customFormat="1" ht="12.75">
      <c r="B20" s="45" t="s">
        <v>334</v>
      </c>
      <c r="D20" s="109"/>
      <c r="E20" s="23">
        <f>Staffing!K70</f>
        <v>585000</v>
      </c>
      <c r="F20" s="23">
        <f>Staffing!L70</f>
        <v>795600</v>
      </c>
      <c r="G20" s="110">
        <f>Staffing!M70</f>
        <v>1014390.0000000002</v>
      </c>
      <c r="H20" s="144"/>
      <c r="I20" s="111">
        <f>Staffing!AZ70</f>
        <v>48750</v>
      </c>
      <c r="J20" s="23">
        <f>Staffing!BA70</f>
        <v>48750</v>
      </c>
      <c r="K20" s="23">
        <f>Staffing!BB70</f>
        <v>48750</v>
      </c>
      <c r="L20" s="23">
        <f>Staffing!BC70</f>
        <v>48750</v>
      </c>
      <c r="M20" s="23">
        <f>Staffing!BD70</f>
        <v>48750</v>
      </c>
      <c r="N20" s="23">
        <f>Staffing!BE70</f>
        <v>48750</v>
      </c>
      <c r="O20" s="23">
        <f>Staffing!BF70</f>
        <v>48750</v>
      </c>
      <c r="P20" s="23">
        <f>Staffing!BG70</f>
        <v>48750</v>
      </c>
      <c r="Q20" s="23">
        <f>Staffing!BH70</f>
        <v>48750</v>
      </c>
      <c r="R20" s="23">
        <f>Staffing!BI70</f>
        <v>48750</v>
      </c>
      <c r="S20" s="23">
        <f>Staffing!BJ70</f>
        <v>48750</v>
      </c>
      <c r="T20" s="23">
        <f>Staffing!BK70</f>
        <v>48750</v>
      </c>
      <c r="U20" s="23">
        <f>Staffing!BL70</f>
        <v>66300</v>
      </c>
      <c r="V20" s="23">
        <f>Staffing!BM70</f>
        <v>66300</v>
      </c>
      <c r="W20" s="23">
        <f>Staffing!BN70</f>
        <v>66300</v>
      </c>
      <c r="X20" s="23">
        <f>Staffing!BO70</f>
        <v>66300</v>
      </c>
      <c r="Y20" s="23">
        <f>Staffing!BP70</f>
        <v>66300</v>
      </c>
      <c r="Z20" s="23">
        <f>Staffing!BQ70</f>
        <v>66300</v>
      </c>
      <c r="AA20" s="23">
        <f>Staffing!BR70</f>
        <v>66300</v>
      </c>
      <c r="AB20" s="23">
        <f>Staffing!BS70</f>
        <v>66300</v>
      </c>
      <c r="AC20" s="23">
        <f>Staffing!BT70</f>
        <v>66300</v>
      </c>
      <c r="AD20" s="23">
        <f>Staffing!BU70</f>
        <v>66300</v>
      </c>
      <c r="AE20" s="23">
        <f>Staffing!BV70</f>
        <v>66300</v>
      </c>
      <c r="AF20" s="23">
        <f>Staffing!BW70</f>
        <v>66300</v>
      </c>
      <c r="AG20" s="23">
        <f>Staffing!BX70</f>
        <v>84532.5</v>
      </c>
      <c r="AH20" s="23">
        <f>Staffing!BY70</f>
        <v>84532.5</v>
      </c>
      <c r="AI20" s="23">
        <f>Staffing!BZ70</f>
        <v>84532.5</v>
      </c>
      <c r="AJ20" s="23">
        <f>Staffing!CA70</f>
        <v>84532.5</v>
      </c>
      <c r="AK20" s="23">
        <f>Staffing!CB70</f>
        <v>84532.5</v>
      </c>
      <c r="AL20" s="23">
        <f>Staffing!CC70</f>
        <v>84532.5</v>
      </c>
      <c r="AM20" s="23">
        <f>Staffing!CD70</f>
        <v>84532.5</v>
      </c>
      <c r="AN20" s="23">
        <f>Staffing!CE70</f>
        <v>84532.5</v>
      </c>
      <c r="AO20" s="23">
        <f>Staffing!CF70</f>
        <v>84532.5</v>
      </c>
      <c r="AP20" s="23">
        <f>Staffing!CG70</f>
        <v>84532.5</v>
      </c>
      <c r="AQ20" s="23">
        <f>Staffing!CH70</f>
        <v>84532.5</v>
      </c>
      <c r="AR20" s="112">
        <f>Staffing!CI70</f>
        <v>84532.5</v>
      </c>
    </row>
    <row r="21" spans="2:44" s="26" customFormat="1" ht="12.75">
      <c r="B21" s="45" t="s">
        <v>205</v>
      </c>
      <c r="D21" s="109"/>
      <c r="E21" s="23">
        <f>E44</f>
        <v>25000</v>
      </c>
      <c r="F21" s="23">
        <f>F44</f>
        <v>25000</v>
      </c>
      <c r="G21" s="110">
        <f>G44</f>
        <v>25000</v>
      </c>
      <c r="H21" s="144"/>
      <c r="I21" s="111">
        <f>$E$21/12</f>
        <v>2083.3333333333335</v>
      </c>
      <c r="J21" s="23">
        <f>$E$21/12</f>
        <v>2083.3333333333335</v>
      </c>
      <c r="K21" s="23">
        <f aca="true" t="shared" si="5" ref="K21:T21">$E$21/12</f>
        <v>2083.3333333333335</v>
      </c>
      <c r="L21" s="23">
        <f t="shared" si="5"/>
        <v>2083.3333333333335</v>
      </c>
      <c r="M21" s="23">
        <f t="shared" si="5"/>
        <v>2083.3333333333335</v>
      </c>
      <c r="N21" s="23">
        <f t="shared" si="5"/>
        <v>2083.3333333333335</v>
      </c>
      <c r="O21" s="23">
        <f t="shared" si="5"/>
        <v>2083.3333333333335</v>
      </c>
      <c r="P21" s="23">
        <f t="shared" si="5"/>
        <v>2083.3333333333335</v>
      </c>
      <c r="Q21" s="23">
        <f t="shared" si="5"/>
        <v>2083.3333333333335</v>
      </c>
      <c r="R21" s="23">
        <f t="shared" si="5"/>
        <v>2083.3333333333335</v>
      </c>
      <c r="S21" s="23">
        <f t="shared" si="5"/>
        <v>2083.3333333333335</v>
      </c>
      <c r="T21" s="23">
        <f t="shared" si="5"/>
        <v>2083.3333333333335</v>
      </c>
      <c r="U21" s="23">
        <f>$F$21/12</f>
        <v>2083.3333333333335</v>
      </c>
      <c r="V21" s="23">
        <f aca="true" t="shared" si="6" ref="V21:AF21">$F$21/12</f>
        <v>2083.3333333333335</v>
      </c>
      <c r="W21" s="23">
        <f t="shared" si="6"/>
        <v>2083.3333333333335</v>
      </c>
      <c r="X21" s="23">
        <f t="shared" si="6"/>
        <v>2083.3333333333335</v>
      </c>
      <c r="Y21" s="23">
        <f t="shared" si="6"/>
        <v>2083.3333333333335</v>
      </c>
      <c r="Z21" s="23">
        <f t="shared" si="6"/>
        <v>2083.3333333333335</v>
      </c>
      <c r="AA21" s="23">
        <f t="shared" si="6"/>
        <v>2083.3333333333335</v>
      </c>
      <c r="AB21" s="23">
        <f t="shared" si="6"/>
        <v>2083.3333333333335</v>
      </c>
      <c r="AC21" s="23">
        <f t="shared" si="6"/>
        <v>2083.3333333333335</v>
      </c>
      <c r="AD21" s="23">
        <f t="shared" si="6"/>
        <v>2083.3333333333335</v>
      </c>
      <c r="AE21" s="23">
        <f t="shared" si="6"/>
        <v>2083.3333333333335</v>
      </c>
      <c r="AF21" s="23">
        <f t="shared" si="6"/>
        <v>2083.3333333333335</v>
      </c>
      <c r="AG21" s="23">
        <f>$G$21/12</f>
        <v>2083.3333333333335</v>
      </c>
      <c r="AH21" s="23">
        <f aca="true" t="shared" si="7" ref="AH21:AR21">$G$21/12</f>
        <v>2083.3333333333335</v>
      </c>
      <c r="AI21" s="23">
        <f t="shared" si="7"/>
        <v>2083.3333333333335</v>
      </c>
      <c r="AJ21" s="23">
        <f t="shared" si="7"/>
        <v>2083.3333333333335</v>
      </c>
      <c r="AK21" s="23">
        <f t="shared" si="7"/>
        <v>2083.3333333333335</v>
      </c>
      <c r="AL21" s="23">
        <f t="shared" si="7"/>
        <v>2083.3333333333335</v>
      </c>
      <c r="AM21" s="23">
        <f t="shared" si="7"/>
        <v>2083.3333333333335</v>
      </c>
      <c r="AN21" s="23">
        <f t="shared" si="7"/>
        <v>2083.3333333333335</v>
      </c>
      <c r="AO21" s="23">
        <f t="shared" si="7"/>
        <v>2083.3333333333335</v>
      </c>
      <c r="AP21" s="23">
        <f t="shared" si="7"/>
        <v>2083.3333333333335</v>
      </c>
      <c r="AQ21" s="23">
        <f t="shared" si="7"/>
        <v>2083.3333333333335</v>
      </c>
      <c r="AR21" s="112">
        <f t="shared" si="7"/>
        <v>2083.3333333333335</v>
      </c>
    </row>
    <row r="22" spans="2:44" s="26" customFormat="1" ht="12.75">
      <c r="B22" s="45" t="s">
        <v>206</v>
      </c>
      <c r="D22" s="109"/>
      <c r="E22" s="23">
        <f>E47*E48*Staffing!B87</f>
        <v>100000</v>
      </c>
      <c r="F22" s="23">
        <f>F47*F48*Staffing!C87</f>
        <v>117500</v>
      </c>
      <c r="G22" s="110">
        <f>G47*G48*Staffing!D87</f>
        <v>135000</v>
      </c>
      <c r="H22" s="144"/>
      <c r="I22" s="111">
        <f aca="true" t="shared" si="8" ref="I22:T22">$E$22/12</f>
        <v>8333.333333333334</v>
      </c>
      <c r="J22" s="23">
        <f t="shared" si="8"/>
        <v>8333.333333333334</v>
      </c>
      <c r="K22" s="23">
        <f t="shared" si="8"/>
        <v>8333.333333333334</v>
      </c>
      <c r="L22" s="23">
        <f t="shared" si="8"/>
        <v>8333.333333333334</v>
      </c>
      <c r="M22" s="23">
        <f t="shared" si="8"/>
        <v>8333.333333333334</v>
      </c>
      <c r="N22" s="23">
        <f t="shared" si="8"/>
        <v>8333.333333333334</v>
      </c>
      <c r="O22" s="23">
        <f t="shared" si="8"/>
        <v>8333.333333333334</v>
      </c>
      <c r="P22" s="23">
        <f t="shared" si="8"/>
        <v>8333.333333333334</v>
      </c>
      <c r="Q22" s="23">
        <f t="shared" si="8"/>
        <v>8333.333333333334</v>
      </c>
      <c r="R22" s="23">
        <f t="shared" si="8"/>
        <v>8333.333333333334</v>
      </c>
      <c r="S22" s="23">
        <f t="shared" si="8"/>
        <v>8333.333333333334</v>
      </c>
      <c r="T22" s="23">
        <f t="shared" si="8"/>
        <v>8333.333333333334</v>
      </c>
      <c r="U22" s="23">
        <f aca="true" t="shared" si="9" ref="U22:AF22">$F$22/12</f>
        <v>9791.666666666666</v>
      </c>
      <c r="V22" s="23">
        <f t="shared" si="9"/>
        <v>9791.666666666666</v>
      </c>
      <c r="W22" s="23">
        <f t="shared" si="9"/>
        <v>9791.666666666666</v>
      </c>
      <c r="X22" s="23">
        <f t="shared" si="9"/>
        <v>9791.666666666666</v>
      </c>
      <c r="Y22" s="23">
        <f t="shared" si="9"/>
        <v>9791.666666666666</v>
      </c>
      <c r="Z22" s="23">
        <f t="shared" si="9"/>
        <v>9791.666666666666</v>
      </c>
      <c r="AA22" s="23">
        <f t="shared" si="9"/>
        <v>9791.666666666666</v>
      </c>
      <c r="AB22" s="23">
        <f t="shared" si="9"/>
        <v>9791.666666666666</v>
      </c>
      <c r="AC22" s="23">
        <f t="shared" si="9"/>
        <v>9791.666666666666</v>
      </c>
      <c r="AD22" s="23">
        <f t="shared" si="9"/>
        <v>9791.666666666666</v>
      </c>
      <c r="AE22" s="23">
        <f t="shared" si="9"/>
        <v>9791.666666666666</v>
      </c>
      <c r="AF22" s="23">
        <f t="shared" si="9"/>
        <v>9791.666666666666</v>
      </c>
      <c r="AG22" s="23">
        <f aca="true" t="shared" si="10" ref="AG22:AR22">$G$22/12</f>
        <v>11250</v>
      </c>
      <c r="AH22" s="23">
        <f t="shared" si="10"/>
        <v>11250</v>
      </c>
      <c r="AI22" s="23">
        <f t="shared" si="10"/>
        <v>11250</v>
      </c>
      <c r="AJ22" s="23">
        <f t="shared" si="10"/>
        <v>11250</v>
      </c>
      <c r="AK22" s="23">
        <f t="shared" si="10"/>
        <v>11250</v>
      </c>
      <c r="AL22" s="23">
        <f t="shared" si="10"/>
        <v>11250</v>
      </c>
      <c r="AM22" s="23">
        <f t="shared" si="10"/>
        <v>11250</v>
      </c>
      <c r="AN22" s="23">
        <f t="shared" si="10"/>
        <v>11250</v>
      </c>
      <c r="AO22" s="23">
        <f t="shared" si="10"/>
        <v>11250</v>
      </c>
      <c r="AP22" s="23">
        <f t="shared" si="10"/>
        <v>11250</v>
      </c>
      <c r="AQ22" s="23">
        <f t="shared" si="10"/>
        <v>11250</v>
      </c>
      <c r="AR22" s="112">
        <f t="shared" si="10"/>
        <v>11250</v>
      </c>
    </row>
    <row r="23" spans="2:44" s="26" customFormat="1" ht="12.75">
      <c r="B23" s="45" t="s">
        <v>207</v>
      </c>
      <c r="D23" s="23"/>
      <c r="E23" s="23">
        <f>E50</f>
        <v>100000</v>
      </c>
      <c r="F23" s="23">
        <f>F50</f>
        <v>100000</v>
      </c>
      <c r="G23" s="110">
        <f>G50</f>
        <v>100000</v>
      </c>
      <c r="H23" s="144"/>
      <c r="I23" s="111">
        <f>$E$23/12</f>
        <v>8333.333333333334</v>
      </c>
      <c r="J23" s="23">
        <f>$E$23/12</f>
        <v>8333.333333333334</v>
      </c>
      <c r="K23" s="23">
        <f aca="true" t="shared" si="11" ref="K23:T23">$E$23/12</f>
        <v>8333.333333333334</v>
      </c>
      <c r="L23" s="23">
        <f t="shared" si="11"/>
        <v>8333.333333333334</v>
      </c>
      <c r="M23" s="23">
        <f t="shared" si="11"/>
        <v>8333.333333333334</v>
      </c>
      <c r="N23" s="23">
        <f t="shared" si="11"/>
        <v>8333.333333333334</v>
      </c>
      <c r="O23" s="23">
        <f t="shared" si="11"/>
        <v>8333.333333333334</v>
      </c>
      <c r="P23" s="23">
        <f t="shared" si="11"/>
        <v>8333.333333333334</v>
      </c>
      <c r="Q23" s="23">
        <f t="shared" si="11"/>
        <v>8333.333333333334</v>
      </c>
      <c r="R23" s="23">
        <f t="shared" si="11"/>
        <v>8333.333333333334</v>
      </c>
      <c r="S23" s="23">
        <f t="shared" si="11"/>
        <v>8333.333333333334</v>
      </c>
      <c r="T23" s="23">
        <f t="shared" si="11"/>
        <v>8333.333333333334</v>
      </c>
      <c r="U23" s="23">
        <f>$F$23/12</f>
        <v>8333.333333333334</v>
      </c>
      <c r="V23" s="23">
        <f aca="true" t="shared" si="12" ref="V23:AF23">$F$23/12</f>
        <v>8333.333333333334</v>
      </c>
      <c r="W23" s="23">
        <f t="shared" si="12"/>
        <v>8333.333333333334</v>
      </c>
      <c r="X23" s="23">
        <f t="shared" si="12"/>
        <v>8333.333333333334</v>
      </c>
      <c r="Y23" s="23">
        <f t="shared" si="12"/>
        <v>8333.333333333334</v>
      </c>
      <c r="Z23" s="23">
        <f t="shared" si="12"/>
        <v>8333.333333333334</v>
      </c>
      <c r="AA23" s="23">
        <f t="shared" si="12"/>
        <v>8333.333333333334</v>
      </c>
      <c r="AB23" s="23">
        <f t="shared" si="12"/>
        <v>8333.333333333334</v>
      </c>
      <c r="AC23" s="23">
        <f t="shared" si="12"/>
        <v>8333.333333333334</v>
      </c>
      <c r="AD23" s="23">
        <f t="shared" si="12"/>
        <v>8333.333333333334</v>
      </c>
      <c r="AE23" s="23">
        <f t="shared" si="12"/>
        <v>8333.333333333334</v>
      </c>
      <c r="AF23" s="23">
        <f t="shared" si="12"/>
        <v>8333.333333333334</v>
      </c>
      <c r="AG23" s="23">
        <f>$G$23/12</f>
        <v>8333.333333333334</v>
      </c>
      <c r="AH23" s="23">
        <f aca="true" t="shared" si="13" ref="AH23:AR23">$G$23/12</f>
        <v>8333.333333333334</v>
      </c>
      <c r="AI23" s="23">
        <f t="shared" si="13"/>
        <v>8333.333333333334</v>
      </c>
      <c r="AJ23" s="23">
        <f t="shared" si="13"/>
        <v>8333.333333333334</v>
      </c>
      <c r="AK23" s="23">
        <f t="shared" si="13"/>
        <v>8333.333333333334</v>
      </c>
      <c r="AL23" s="23">
        <f t="shared" si="13"/>
        <v>8333.333333333334</v>
      </c>
      <c r="AM23" s="23">
        <f t="shared" si="13"/>
        <v>8333.333333333334</v>
      </c>
      <c r="AN23" s="23">
        <f t="shared" si="13"/>
        <v>8333.333333333334</v>
      </c>
      <c r="AO23" s="23">
        <f t="shared" si="13"/>
        <v>8333.333333333334</v>
      </c>
      <c r="AP23" s="23">
        <f t="shared" si="13"/>
        <v>8333.333333333334</v>
      </c>
      <c r="AQ23" s="23">
        <f t="shared" si="13"/>
        <v>8333.333333333334</v>
      </c>
      <c r="AR23" s="112">
        <f t="shared" si="13"/>
        <v>8333.333333333334</v>
      </c>
    </row>
    <row r="24" spans="2:44" s="52" customFormat="1" ht="12.75">
      <c r="B24" s="34" t="s">
        <v>208</v>
      </c>
      <c r="D24" s="115"/>
      <c r="E24" s="116">
        <f>E52*(E21+E22+E23+E16)</f>
        <v>62500</v>
      </c>
      <c r="F24" s="116">
        <f>F52*(F21+F22+F23+F16)</f>
        <v>64250</v>
      </c>
      <c r="G24" s="117">
        <f>G52*(G21+G22+G23+G16)</f>
        <v>66000</v>
      </c>
      <c r="H24" s="145"/>
      <c r="I24" s="118"/>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9"/>
    </row>
    <row r="25" spans="1:44" ht="12.75" customHeight="1">
      <c r="A25" s="45" t="s">
        <v>315</v>
      </c>
      <c r="B25" s="45"/>
      <c r="D25" s="109"/>
      <c r="E25" s="23">
        <f>SUM(E20:E24)</f>
        <v>872500</v>
      </c>
      <c r="F25" s="23">
        <f>SUM(F20:F24)</f>
        <v>1102350</v>
      </c>
      <c r="G25" s="110">
        <f>SUM(G20:G24)</f>
        <v>1340390.0000000002</v>
      </c>
      <c r="H25" s="143"/>
      <c r="I25" s="111">
        <f aca="true" t="shared" si="14" ref="I25:AR25">SUM(I20:I20)</f>
        <v>48750</v>
      </c>
      <c r="J25" s="23">
        <f t="shared" si="14"/>
        <v>48750</v>
      </c>
      <c r="K25" s="23">
        <f t="shared" si="14"/>
        <v>48750</v>
      </c>
      <c r="L25" s="23">
        <f t="shared" si="14"/>
        <v>48750</v>
      </c>
      <c r="M25" s="23">
        <f t="shared" si="14"/>
        <v>48750</v>
      </c>
      <c r="N25" s="23">
        <f t="shared" si="14"/>
        <v>48750</v>
      </c>
      <c r="O25" s="23">
        <f t="shared" si="14"/>
        <v>48750</v>
      </c>
      <c r="P25" s="23">
        <f t="shared" si="14"/>
        <v>48750</v>
      </c>
      <c r="Q25" s="23">
        <f t="shared" si="14"/>
        <v>48750</v>
      </c>
      <c r="R25" s="23">
        <f t="shared" si="14"/>
        <v>48750</v>
      </c>
      <c r="S25" s="23">
        <f t="shared" si="14"/>
        <v>48750</v>
      </c>
      <c r="T25" s="23">
        <f t="shared" si="14"/>
        <v>48750</v>
      </c>
      <c r="U25" s="23">
        <f t="shared" si="14"/>
        <v>66300</v>
      </c>
      <c r="V25" s="23">
        <f t="shared" si="14"/>
        <v>66300</v>
      </c>
      <c r="W25" s="23">
        <f t="shared" si="14"/>
        <v>66300</v>
      </c>
      <c r="X25" s="23">
        <f t="shared" si="14"/>
        <v>66300</v>
      </c>
      <c r="Y25" s="23">
        <f t="shared" si="14"/>
        <v>66300</v>
      </c>
      <c r="Z25" s="23">
        <f t="shared" si="14"/>
        <v>66300</v>
      </c>
      <c r="AA25" s="23">
        <f t="shared" si="14"/>
        <v>66300</v>
      </c>
      <c r="AB25" s="23">
        <f t="shared" si="14"/>
        <v>66300</v>
      </c>
      <c r="AC25" s="23">
        <f t="shared" si="14"/>
        <v>66300</v>
      </c>
      <c r="AD25" s="23">
        <f t="shared" si="14"/>
        <v>66300</v>
      </c>
      <c r="AE25" s="23">
        <f t="shared" si="14"/>
        <v>66300</v>
      </c>
      <c r="AF25" s="23">
        <f t="shared" si="14"/>
        <v>66300</v>
      </c>
      <c r="AG25" s="23">
        <f t="shared" si="14"/>
        <v>84532.5</v>
      </c>
      <c r="AH25" s="23">
        <f t="shared" si="14"/>
        <v>84532.5</v>
      </c>
      <c r="AI25" s="23">
        <f t="shared" si="14"/>
        <v>84532.5</v>
      </c>
      <c r="AJ25" s="23">
        <f t="shared" si="14"/>
        <v>84532.5</v>
      </c>
      <c r="AK25" s="23">
        <f t="shared" si="14"/>
        <v>84532.5</v>
      </c>
      <c r="AL25" s="23">
        <f t="shared" si="14"/>
        <v>84532.5</v>
      </c>
      <c r="AM25" s="23">
        <f t="shared" si="14"/>
        <v>84532.5</v>
      </c>
      <c r="AN25" s="23">
        <f t="shared" si="14"/>
        <v>84532.5</v>
      </c>
      <c r="AO25" s="23">
        <f t="shared" si="14"/>
        <v>84532.5</v>
      </c>
      <c r="AP25" s="23">
        <f t="shared" si="14"/>
        <v>84532.5</v>
      </c>
      <c r="AQ25" s="23">
        <f t="shared" si="14"/>
        <v>84532.5</v>
      </c>
      <c r="AR25" s="112">
        <f t="shared" si="14"/>
        <v>84532.5</v>
      </c>
    </row>
    <row r="26" spans="1:44" ht="12.75" customHeight="1">
      <c r="A26" s="45"/>
      <c r="B26" s="45"/>
      <c r="D26" s="109"/>
      <c r="E26" s="23"/>
      <c r="F26" s="23"/>
      <c r="G26" s="110"/>
      <c r="H26" s="143"/>
      <c r="I26" s="111"/>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112"/>
    </row>
    <row r="27" spans="3:44" ht="12.75">
      <c r="C27" s="113"/>
      <c r="D27" s="114"/>
      <c r="E27" s="123"/>
      <c r="F27" s="123"/>
      <c r="G27" s="124"/>
      <c r="H27" s="143"/>
      <c r="I27" s="111"/>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112"/>
    </row>
    <row r="28" spans="1:44" ht="12.75">
      <c r="A28" s="25" t="s">
        <v>147</v>
      </c>
      <c r="C28" s="113"/>
      <c r="D28" s="114"/>
      <c r="E28" s="23">
        <f>E13+E17+E25</f>
        <v>4587500</v>
      </c>
      <c r="F28" s="23">
        <f>F13+F17+F25</f>
        <v>5380900</v>
      </c>
      <c r="G28" s="110">
        <f>G13+G17+G25</f>
        <v>6203705.999999999</v>
      </c>
      <c r="H28" s="143"/>
      <c r="I28" s="111">
        <f>$E$28/12</f>
        <v>382291.6666666667</v>
      </c>
      <c r="J28" s="23">
        <f>$E$28/12</f>
        <v>382291.6666666667</v>
      </c>
      <c r="K28" s="23">
        <f aca="true" t="shared" si="15" ref="K28:T28">$E$28/12</f>
        <v>382291.6666666667</v>
      </c>
      <c r="L28" s="23">
        <f t="shared" si="15"/>
        <v>382291.6666666667</v>
      </c>
      <c r="M28" s="23">
        <f t="shared" si="15"/>
        <v>382291.6666666667</v>
      </c>
      <c r="N28" s="23">
        <f t="shared" si="15"/>
        <v>382291.6666666667</v>
      </c>
      <c r="O28" s="23">
        <f t="shared" si="15"/>
        <v>382291.6666666667</v>
      </c>
      <c r="P28" s="23">
        <f t="shared" si="15"/>
        <v>382291.6666666667</v>
      </c>
      <c r="Q28" s="23">
        <f t="shared" si="15"/>
        <v>382291.6666666667</v>
      </c>
      <c r="R28" s="23">
        <f t="shared" si="15"/>
        <v>382291.6666666667</v>
      </c>
      <c r="S28" s="23">
        <f t="shared" si="15"/>
        <v>382291.6666666667</v>
      </c>
      <c r="T28" s="23">
        <f t="shared" si="15"/>
        <v>382291.6666666667</v>
      </c>
      <c r="U28" s="23">
        <f>$F$28/12</f>
        <v>448408.3333333333</v>
      </c>
      <c r="V28" s="23">
        <f aca="true" t="shared" si="16" ref="V28:AF28">$F$28/12</f>
        <v>448408.3333333333</v>
      </c>
      <c r="W28" s="23">
        <f t="shared" si="16"/>
        <v>448408.3333333333</v>
      </c>
      <c r="X28" s="23">
        <f t="shared" si="16"/>
        <v>448408.3333333333</v>
      </c>
      <c r="Y28" s="23">
        <f t="shared" si="16"/>
        <v>448408.3333333333</v>
      </c>
      <c r="Z28" s="23">
        <f t="shared" si="16"/>
        <v>448408.3333333333</v>
      </c>
      <c r="AA28" s="23">
        <f t="shared" si="16"/>
        <v>448408.3333333333</v>
      </c>
      <c r="AB28" s="23">
        <f t="shared" si="16"/>
        <v>448408.3333333333</v>
      </c>
      <c r="AC28" s="23">
        <f t="shared" si="16"/>
        <v>448408.3333333333</v>
      </c>
      <c r="AD28" s="23">
        <f t="shared" si="16"/>
        <v>448408.3333333333</v>
      </c>
      <c r="AE28" s="23">
        <f t="shared" si="16"/>
        <v>448408.3333333333</v>
      </c>
      <c r="AF28" s="23">
        <f t="shared" si="16"/>
        <v>448408.3333333333</v>
      </c>
      <c r="AG28" s="23">
        <f>$G$28/12</f>
        <v>516975.49999999994</v>
      </c>
      <c r="AH28" s="23">
        <f aca="true" t="shared" si="17" ref="AH28:AR28">$G$28/12</f>
        <v>516975.49999999994</v>
      </c>
      <c r="AI28" s="23">
        <f t="shared" si="17"/>
        <v>516975.49999999994</v>
      </c>
      <c r="AJ28" s="23">
        <f t="shared" si="17"/>
        <v>516975.49999999994</v>
      </c>
      <c r="AK28" s="23">
        <f t="shared" si="17"/>
        <v>516975.49999999994</v>
      </c>
      <c r="AL28" s="23">
        <f t="shared" si="17"/>
        <v>516975.49999999994</v>
      </c>
      <c r="AM28" s="23">
        <f t="shared" si="17"/>
        <v>516975.49999999994</v>
      </c>
      <c r="AN28" s="23">
        <f t="shared" si="17"/>
        <v>516975.49999999994</v>
      </c>
      <c r="AO28" s="23">
        <f t="shared" si="17"/>
        <v>516975.49999999994</v>
      </c>
      <c r="AP28" s="23">
        <f t="shared" si="17"/>
        <v>516975.49999999994</v>
      </c>
      <c r="AQ28" s="23">
        <f t="shared" si="17"/>
        <v>516975.49999999994</v>
      </c>
      <c r="AR28" s="112">
        <f t="shared" si="17"/>
        <v>516975.49999999994</v>
      </c>
    </row>
    <row r="29" spans="4:44" ht="13.5" thickBot="1">
      <c r="D29" s="115"/>
      <c r="E29" s="116"/>
      <c r="F29" s="116"/>
      <c r="G29" s="117"/>
      <c r="H29" s="143"/>
      <c r="I29" s="125"/>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7"/>
    </row>
    <row r="30" spans="9:44" ht="12.7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ht="13.5" thickBot="1"/>
    <row r="32" spans="2:3" ht="13.5" thickBot="1">
      <c r="B32" s="128"/>
      <c r="C32" s="25" t="s">
        <v>181</v>
      </c>
    </row>
    <row r="33" ht="13.5" thickBot="1"/>
    <row r="34" spans="1:7" ht="12.75">
      <c r="A34" s="70" t="s">
        <v>197</v>
      </c>
      <c r="B34" s="71"/>
      <c r="C34" s="71"/>
      <c r="D34" s="71"/>
      <c r="E34" s="22" t="s">
        <v>319</v>
      </c>
      <c r="F34" s="22" t="s">
        <v>320</v>
      </c>
      <c r="G34" s="129" t="s">
        <v>321</v>
      </c>
    </row>
    <row r="35" spans="1:7" ht="12.75">
      <c r="A35" s="16"/>
      <c r="B35" s="48"/>
      <c r="C35" s="55"/>
      <c r="D35" s="26"/>
      <c r="E35" s="55"/>
      <c r="F35" s="55"/>
      <c r="G35" s="130"/>
    </row>
    <row r="36" spans="1:7" ht="12.75">
      <c r="A36" s="131"/>
      <c r="B36" s="48" t="s">
        <v>317</v>
      </c>
      <c r="C36" s="55"/>
      <c r="D36" s="26"/>
      <c r="E36" s="132"/>
      <c r="F36" s="132"/>
      <c r="G36" s="133"/>
    </row>
    <row r="37" spans="1:7" ht="12.75">
      <c r="A37" s="131"/>
      <c r="B37" s="48"/>
      <c r="C37" s="134" t="s">
        <v>75</v>
      </c>
      <c r="D37" s="147">
        <v>300000</v>
      </c>
      <c r="E37" s="132"/>
      <c r="F37" s="132"/>
      <c r="G37" s="133"/>
    </row>
    <row r="38" spans="1:7" ht="12.75">
      <c r="A38" s="131"/>
      <c r="B38" s="48"/>
      <c r="C38" s="134" t="s">
        <v>76</v>
      </c>
      <c r="D38" s="148">
        <v>1000</v>
      </c>
      <c r="E38" s="132"/>
      <c r="F38" s="132"/>
      <c r="G38" s="133"/>
    </row>
    <row r="39" spans="1:7" ht="12.75">
      <c r="A39" s="131"/>
      <c r="B39" s="48"/>
      <c r="C39" s="55"/>
      <c r="D39" s="26"/>
      <c r="E39" s="132"/>
      <c r="F39" s="132"/>
      <c r="G39" s="133"/>
    </row>
    <row r="40" spans="1:7" ht="12.75">
      <c r="A40" s="131"/>
      <c r="B40" s="48" t="s">
        <v>204</v>
      </c>
      <c r="C40" s="55"/>
      <c r="D40" s="135"/>
      <c r="E40" s="132"/>
      <c r="F40" s="132"/>
      <c r="G40" s="133"/>
    </row>
    <row r="41" spans="1:7" ht="12.75">
      <c r="A41" s="131"/>
      <c r="B41" s="48"/>
      <c r="C41" s="134" t="s">
        <v>209</v>
      </c>
      <c r="D41" s="135"/>
      <c r="E41" s="147">
        <v>1000</v>
      </c>
      <c r="F41" s="147">
        <v>1000</v>
      </c>
      <c r="G41" s="149">
        <v>1000</v>
      </c>
    </row>
    <row r="42" spans="1:7" ht="12.75">
      <c r="A42" s="131"/>
      <c r="B42" s="48"/>
      <c r="C42" s="134" t="s">
        <v>210</v>
      </c>
      <c r="D42" s="135"/>
      <c r="E42" s="148">
        <v>400</v>
      </c>
      <c r="F42" s="148">
        <v>400</v>
      </c>
      <c r="G42" s="150">
        <v>400</v>
      </c>
    </row>
    <row r="43" spans="1:7" ht="12.75">
      <c r="A43" s="131"/>
      <c r="B43" s="48"/>
      <c r="C43" s="55"/>
      <c r="D43" s="135"/>
      <c r="E43" s="132"/>
      <c r="F43" s="132"/>
      <c r="G43" s="133"/>
    </row>
    <row r="44" spans="1:10" ht="12.75">
      <c r="A44" s="131"/>
      <c r="B44" s="48" t="s">
        <v>205</v>
      </c>
      <c r="C44" s="55"/>
      <c r="D44" s="26"/>
      <c r="E44" s="147">
        <v>25000</v>
      </c>
      <c r="F44" s="147">
        <v>25000</v>
      </c>
      <c r="G44" s="149">
        <v>25000</v>
      </c>
      <c r="J44" s="136"/>
    </row>
    <row r="45" spans="1:7" ht="12.75">
      <c r="A45" s="131"/>
      <c r="B45" s="48"/>
      <c r="C45" s="55"/>
      <c r="D45" s="26"/>
      <c r="E45" s="132"/>
      <c r="F45" s="132"/>
      <c r="G45" s="133"/>
    </row>
    <row r="46" spans="1:7" ht="12.75">
      <c r="A46" s="131"/>
      <c r="B46" s="48" t="s">
        <v>206</v>
      </c>
      <c r="C46" s="55"/>
      <c r="D46" s="135"/>
      <c r="E46" s="132"/>
      <c r="F46" s="132"/>
      <c r="G46" s="133"/>
    </row>
    <row r="47" spans="1:7" ht="12.75">
      <c r="A47" s="131"/>
      <c r="B47" s="48"/>
      <c r="C47" s="134" t="s">
        <v>211</v>
      </c>
      <c r="D47" s="135"/>
      <c r="E47" s="148">
        <v>100</v>
      </c>
      <c r="F47" s="148">
        <v>100</v>
      </c>
      <c r="G47" s="150">
        <v>100</v>
      </c>
    </row>
    <row r="48" spans="1:7" ht="12.75">
      <c r="A48" s="131"/>
      <c r="B48" s="48"/>
      <c r="C48" s="134" t="s">
        <v>212</v>
      </c>
      <c r="D48" s="26"/>
      <c r="E48" s="147">
        <v>25</v>
      </c>
      <c r="F48" s="147">
        <v>25</v>
      </c>
      <c r="G48" s="149">
        <v>25</v>
      </c>
    </row>
    <row r="49" spans="1:7" ht="12.75">
      <c r="A49" s="131"/>
      <c r="B49" s="48"/>
      <c r="C49" s="55"/>
      <c r="D49" s="26"/>
      <c r="E49" s="132"/>
      <c r="F49" s="132"/>
      <c r="G49" s="133"/>
    </row>
    <row r="50" spans="1:7" ht="12.75">
      <c r="A50" s="131"/>
      <c r="B50" s="48" t="s">
        <v>207</v>
      </c>
      <c r="C50" s="55"/>
      <c r="D50" s="135"/>
      <c r="E50" s="147">
        <v>100000</v>
      </c>
      <c r="F50" s="147">
        <v>100000</v>
      </c>
      <c r="G50" s="149">
        <v>100000</v>
      </c>
    </row>
    <row r="51" spans="1:7" ht="12.75">
      <c r="A51" s="131"/>
      <c r="B51" s="48"/>
      <c r="C51" s="55"/>
      <c r="D51" s="135"/>
      <c r="E51" s="132"/>
      <c r="F51" s="132"/>
      <c r="G51" s="133"/>
    </row>
    <row r="52" spans="1:7" ht="12.75">
      <c r="A52" s="131"/>
      <c r="B52" s="48" t="s">
        <v>208</v>
      </c>
      <c r="C52" s="55"/>
      <c r="D52" s="135"/>
      <c r="E52" s="151">
        <v>0.1</v>
      </c>
      <c r="F52" s="151">
        <v>0.1</v>
      </c>
      <c r="G52" s="152">
        <v>0.1</v>
      </c>
    </row>
    <row r="53" spans="1:7" ht="12.75">
      <c r="A53" s="131"/>
      <c r="B53" s="48"/>
      <c r="C53" s="55"/>
      <c r="D53" s="135"/>
      <c r="E53" s="151"/>
      <c r="F53" s="151"/>
      <c r="G53" s="152"/>
    </row>
    <row r="54" spans="1:7" ht="12.75">
      <c r="A54" s="131"/>
      <c r="B54" s="48" t="s">
        <v>2</v>
      </c>
      <c r="C54" s="55"/>
      <c r="D54" s="135"/>
      <c r="E54" s="147">
        <v>1500</v>
      </c>
      <c r="F54" s="147">
        <v>1500</v>
      </c>
      <c r="G54" s="147">
        <v>1500</v>
      </c>
    </row>
    <row r="55" spans="1:7" ht="13.5" thickBot="1">
      <c r="A55" s="19"/>
      <c r="B55" s="20"/>
      <c r="C55" s="137"/>
      <c r="D55" s="138"/>
      <c r="E55" s="139"/>
      <c r="F55" s="139"/>
      <c r="G55" s="140"/>
    </row>
    <row r="56" spans="1:7" ht="12.75">
      <c r="A56" s="16"/>
      <c r="B56" s="48"/>
      <c r="C56" s="55"/>
      <c r="E56" s="132"/>
      <c r="F56" s="141"/>
      <c r="G56" s="132"/>
    </row>
    <row r="57" spans="1:7" ht="12.75">
      <c r="A57" s="16"/>
      <c r="B57" s="48"/>
      <c r="C57" s="55"/>
      <c r="E57" s="132"/>
      <c r="F57" s="141"/>
      <c r="G57" s="132"/>
    </row>
    <row r="58" spans="1:7" ht="12.75">
      <c r="A58" s="16"/>
      <c r="B58" s="48"/>
      <c r="C58" s="55"/>
      <c r="E58" s="132"/>
      <c r="F58" s="141"/>
      <c r="G58" s="132"/>
    </row>
    <row r="59" spans="1:7" ht="12.75">
      <c r="A59" s="16"/>
      <c r="B59" s="48"/>
      <c r="C59" s="55"/>
      <c r="E59" s="132"/>
      <c r="F59" s="141"/>
      <c r="G59" s="132"/>
    </row>
    <row r="60" spans="1:7" ht="12.75">
      <c r="A60" s="16"/>
      <c r="B60" s="48"/>
      <c r="C60" s="55"/>
      <c r="E60" s="132"/>
      <c r="F60" s="141"/>
      <c r="G60" s="132"/>
    </row>
    <row r="61" spans="1:7" ht="12.75">
      <c r="A61" s="16"/>
      <c r="B61" s="48"/>
      <c r="C61" s="55"/>
      <c r="E61" s="132"/>
      <c r="F61" s="141"/>
      <c r="G61" s="132"/>
    </row>
    <row r="62" spans="1:7" ht="12.75">
      <c r="A62" s="16"/>
      <c r="B62" s="48"/>
      <c r="C62" s="55"/>
      <c r="E62" s="132"/>
      <c r="F62" s="141"/>
      <c r="G62" s="132"/>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AS336"/>
  <sheetViews>
    <sheetView zoomScale="110" zoomScaleNormal="110" workbookViewId="0" topLeftCell="A1">
      <selection activeCell="F75" sqref="F75"/>
    </sheetView>
  </sheetViews>
  <sheetFormatPr defaultColWidth="11.421875" defaultRowHeight="12.75"/>
  <cols>
    <col min="1" max="1" width="3.140625" style="25" customWidth="1"/>
    <col min="2" max="2" width="29.7109375" style="25" customWidth="1"/>
    <col min="3" max="3" width="11.421875" style="25" customWidth="1"/>
    <col min="4" max="5" width="16.8515625" style="25" bestFit="1" customWidth="1"/>
    <col min="6" max="6" width="33.7109375" style="25" customWidth="1"/>
    <col min="7" max="7" width="4.421875" style="25" customWidth="1"/>
    <col min="8" max="8" width="12.14062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1" ht="10.5" customHeight="1" thickBot="1"/>
    <row r="2" spans="1:43" ht="12.75">
      <c r="A2" s="270" t="s">
        <v>214</v>
      </c>
      <c r="B2" s="231"/>
      <c r="C2" s="328" t="s">
        <v>319</v>
      </c>
      <c r="D2" s="328" t="s">
        <v>320</v>
      </c>
      <c r="E2" s="328" t="s">
        <v>321</v>
      </c>
      <c r="F2" s="329" t="s">
        <v>330</v>
      </c>
      <c r="H2" s="53" t="s">
        <v>319</v>
      </c>
      <c r="I2" s="54"/>
      <c r="J2" s="54"/>
      <c r="K2" s="54"/>
      <c r="L2" s="54"/>
      <c r="M2" s="54"/>
      <c r="N2" s="54"/>
      <c r="O2" s="54"/>
      <c r="P2" s="54"/>
      <c r="Q2" s="54"/>
      <c r="R2" s="54"/>
      <c r="S2" s="39"/>
      <c r="T2" s="53" t="s">
        <v>320</v>
      </c>
      <c r="U2" s="54"/>
      <c r="V2" s="54"/>
      <c r="W2" s="54"/>
      <c r="X2" s="54"/>
      <c r="Y2" s="54"/>
      <c r="Z2" s="54"/>
      <c r="AA2" s="54"/>
      <c r="AB2" s="54"/>
      <c r="AC2" s="54"/>
      <c r="AD2" s="54"/>
      <c r="AE2" s="39"/>
      <c r="AF2" s="53" t="s">
        <v>321</v>
      </c>
      <c r="AG2" s="54"/>
      <c r="AH2" s="54"/>
      <c r="AI2" s="54"/>
      <c r="AJ2" s="54"/>
      <c r="AK2" s="54"/>
      <c r="AL2" s="54"/>
      <c r="AM2" s="54"/>
      <c r="AN2" s="54"/>
      <c r="AO2" s="54"/>
      <c r="AP2" s="54"/>
      <c r="AQ2" s="39"/>
    </row>
    <row r="3" spans="1:43" ht="12.75">
      <c r="A3" s="32"/>
      <c r="B3" s="26"/>
      <c r="C3" s="26"/>
      <c r="D3" s="26"/>
      <c r="E3" s="26"/>
      <c r="F3" s="108"/>
      <c r="H3" s="40" t="s">
        <v>323</v>
      </c>
      <c r="I3" s="41" t="s">
        <v>324</v>
      </c>
      <c r="J3" s="41" t="s">
        <v>325</v>
      </c>
      <c r="K3" s="41" t="s">
        <v>326</v>
      </c>
      <c r="L3" s="41" t="s">
        <v>130</v>
      </c>
      <c r="M3" s="41" t="s">
        <v>131</v>
      </c>
      <c r="N3" s="41" t="s">
        <v>132</v>
      </c>
      <c r="O3" s="41" t="s">
        <v>133</v>
      </c>
      <c r="P3" s="41" t="s">
        <v>134</v>
      </c>
      <c r="Q3" s="41" t="s">
        <v>135</v>
      </c>
      <c r="R3" s="41" t="s">
        <v>136</v>
      </c>
      <c r="S3" s="41" t="s">
        <v>137</v>
      </c>
      <c r="T3" s="41" t="s">
        <v>323</v>
      </c>
      <c r="U3" s="41" t="s">
        <v>324</v>
      </c>
      <c r="V3" s="41" t="s">
        <v>325</v>
      </c>
      <c r="W3" s="41" t="s">
        <v>326</v>
      </c>
      <c r="X3" s="41" t="s">
        <v>130</v>
      </c>
      <c r="Y3" s="41" t="s">
        <v>131</v>
      </c>
      <c r="Z3" s="41" t="s">
        <v>132</v>
      </c>
      <c r="AA3" s="41" t="s">
        <v>133</v>
      </c>
      <c r="AB3" s="41" t="s">
        <v>134</v>
      </c>
      <c r="AC3" s="41" t="s">
        <v>135</v>
      </c>
      <c r="AD3" s="41" t="s">
        <v>136</v>
      </c>
      <c r="AE3" s="41" t="s">
        <v>137</v>
      </c>
      <c r="AF3" s="43" t="s">
        <v>323</v>
      </c>
      <c r="AG3" s="43" t="s">
        <v>324</v>
      </c>
      <c r="AH3" s="43" t="s">
        <v>325</v>
      </c>
      <c r="AI3" s="43" t="s">
        <v>326</v>
      </c>
      <c r="AJ3" s="43" t="s">
        <v>130</v>
      </c>
      <c r="AK3" s="43" t="s">
        <v>131</v>
      </c>
      <c r="AL3" s="43" t="s">
        <v>132</v>
      </c>
      <c r="AM3" s="43" t="s">
        <v>133</v>
      </c>
      <c r="AN3" s="43" t="s">
        <v>134</v>
      </c>
      <c r="AO3" s="43" t="s">
        <v>135</v>
      </c>
      <c r="AP3" s="43" t="s">
        <v>136</v>
      </c>
      <c r="AQ3" s="106" t="s">
        <v>137</v>
      </c>
    </row>
    <row r="4" spans="1:43" ht="12.75">
      <c r="A4" s="32" t="s">
        <v>274</v>
      </c>
      <c r="B4" s="26"/>
      <c r="C4" s="153">
        <f>C52</f>
        <v>17752.98245614035</v>
      </c>
      <c r="D4" s="153">
        <f>D52</f>
        <v>49708.35087719299</v>
      </c>
      <c r="E4" s="153">
        <f>E52</f>
        <v>95866.10526315788</v>
      </c>
      <c r="F4" s="108" t="s">
        <v>215</v>
      </c>
      <c r="H4" s="111">
        <f>C4/12</f>
        <v>1479.4152046783627</v>
      </c>
      <c r="I4" s="23">
        <f>$C$4/12</f>
        <v>1479.4152046783627</v>
      </c>
      <c r="J4" s="23">
        <f aca="true" t="shared" si="0" ref="J4:S4">$C$4/12</f>
        <v>1479.4152046783627</v>
      </c>
      <c r="K4" s="23">
        <f t="shared" si="0"/>
        <v>1479.4152046783627</v>
      </c>
      <c r="L4" s="23">
        <f t="shared" si="0"/>
        <v>1479.4152046783627</v>
      </c>
      <c r="M4" s="23">
        <f t="shared" si="0"/>
        <v>1479.4152046783627</v>
      </c>
      <c r="N4" s="23">
        <f t="shared" si="0"/>
        <v>1479.4152046783627</v>
      </c>
      <c r="O4" s="23">
        <f t="shared" si="0"/>
        <v>1479.4152046783627</v>
      </c>
      <c r="P4" s="23">
        <f t="shared" si="0"/>
        <v>1479.4152046783627</v>
      </c>
      <c r="Q4" s="23">
        <f t="shared" si="0"/>
        <v>1479.4152046783627</v>
      </c>
      <c r="R4" s="23">
        <f t="shared" si="0"/>
        <v>1479.4152046783627</v>
      </c>
      <c r="S4" s="23">
        <f t="shared" si="0"/>
        <v>1479.4152046783627</v>
      </c>
      <c r="T4" s="23">
        <f>$D$4/12</f>
        <v>4142.362573099416</v>
      </c>
      <c r="U4" s="23">
        <f aca="true" t="shared" si="1" ref="U4:AE4">$D$4/12</f>
        <v>4142.362573099416</v>
      </c>
      <c r="V4" s="23">
        <f t="shared" si="1"/>
        <v>4142.362573099416</v>
      </c>
      <c r="W4" s="23">
        <f t="shared" si="1"/>
        <v>4142.362573099416</v>
      </c>
      <c r="X4" s="23">
        <f t="shared" si="1"/>
        <v>4142.362573099416</v>
      </c>
      <c r="Y4" s="23">
        <f t="shared" si="1"/>
        <v>4142.362573099416</v>
      </c>
      <c r="Z4" s="23">
        <f t="shared" si="1"/>
        <v>4142.362573099416</v>
      </c>
      <c r="AA4" s="23">
        <f t="shared" si="1"/>
        <v>4142.362573099416</v>
      </c>
      <c r="AB4" s="23">
        <f t="shared" si="1"/>
        <v>4142.362573099416</v>
      </c>
      <c r="AC4" s="23">
        <f t="shared" si="1"/>
        <v>4142.362573099416</v>
      </c>
      <c r="AD4" s="23">
        <f t="shared" si="1"/>
        <v>4142.362573099416</v>
      </c>
      <c r="AE4" s="23">
        <f t="shared" si="1"/>
        <v>4142.362573099416</v>
      </c>
      <c r="AF4" s="23">
        <f>$E$4/12</f>
        <v>7988.842105263157</v>
      </c>
      <c r="AG4" s="23">
        <f aca="true" t="shared" si="2" ref="AG4:AQ4">$E$4/12</f>
        <v>7988.842105263157</v>
      </c>
      <c r="AH4" s="23">
        <f t="shared" si="2"/>
        <v>7988.842105263157</v>
      </c>
      <c r="AI4" s="23">
        <f t="shared" si="2"/>
        <v>7988.842105263157</v>
      </c>
      <c r="AJ4" s="23">
        <f t="shared" si="2"/>
        <v>7988.842105263157</v>
      </c>
      <c r="AK4" s="23">
        <f t="shared" si="2"/>
        <v>7988.842105263157</v>
      </c>
      <c r="AL4" s="23">
        <f t="shared" si="2"/>
        <v>7988.842105263157</v>
      </c>
      <c r="AM4" s="23">
        <f t="shared" si="2"/>
        <v>7988.842105263157</v>
      </c>
      <c r="AN4" s="23">
        <f t="shared" si="2"/>
        <v>7988.842105263157</v>
      </c>
      <c r="AO4" s="23">
        <f t="shared" si="2"/>
        <v>7988.842105263157</v>
      </c>
      <c r="AP4" s="23">
        <f t="shared" si="2"/>
        <v>7988.842105263157</v>
      </c>
      <c r="AQ4" s="112">
        <f t="shared" si="2"/>
        <v>7988.842105263157</v>
      </c>
    </row>
    <row r="5" spans="1:43" ht="12.75">
      <c r="A5" s="32"/>
      <c r="B5" s="26"/>
      <c r="C5" s="26"/>
      <c r="D5" s="26"/>
      <c r="E5" s="26"/>
      <c r="F5" s="108"/>
      <c r="H5" s="40"/>
      <c r="I5" s="41"/>
      <c r="J5" s="41"/>
      <c r="K5" s="41"/>
      <c r="L5" s="41"/>
      <c r="M5" s="41"/>
      <c r="N5" s="41"/>
      <c r="O5" s="41"/>
      <c r="P5" s="41"/>
      <c r="Q5" s="41"/>
      <c r="R5" s="41"/>
      <c r="S5" s="41"/>
      <c r="T5" s="41"/>
      <c r="U5" s="41"/>
      <c r="V5" s="41"/>
      <c r="W5" s="41"/>
      <c r="X5" s="41"/>
      <c r="Y5" s="41"/>
      <c r="Z5" s="41"/>
      <c r="AA5" s="41"/>
      <c r="AB5" s="41"/>
      <c r="AC5" s="41"/>
      <c r="AD5" s="41"/>
      <c r="AE5" s="41"/>
      <c r="AF5" s="43"/>
      <c r="AG5" s="43"/>
      <c r="AH5" s="43"/>
      <c r="AI5" s="43"/>
      <c r="AJ5" s="43"/>
      <c r="AK5" s="43"/>
      <c r="AL5" s="43"/>
      <c r="AM5" s="43"/>
      <c r="AN5" s="43"/>
      <c r="AO5" s="43"/>
      <c r="AP5" s="43"/>
      <c r="AQ5" s="106"/>
    </row>
    <row r="6" spans="1:43" ht="12.75">
      <c r="A6" s="32" t="s">
        <v>275</v>
      </c>
      <c r="B6" s="26"/>
      <c r="C6" s="23">
        <f>C73</f>
        <v>416000</v>
      </c>
      <c r="D6" s="23">
        <f>D73</f>
        <v>416000</v>
      </c>
      <c r="E6" s="23">
        <f>E73</f>
        <v>416000</v>
      </c>
      <c r="F6" s="108" t="s">
        <v>215</v>
      </c>
      <c r="H6" s="111">
        <f>$C$6/12</f>
        <v>34666.666666666664</v>
      </c>
      <c r="I6" s="23">
        <f>$C$6/12</f>
        <v>34666.666666666664</v>
      </c>
      <c r="J6" s="23">
        <f aca="true" t="shared" si="3" ref="J6:S6">$C$6/12</f>
        <v>34666.666666666664</v>
      </c>
      <c r="K6" s="23">
        <f t="shared" si="3"/>
        <v>34666.666666666664</v>
      </c>
      <c r="L6" s="23">
        <f t="shared" si="3"/>
        <v>34666.666666666664</v>
      </c>
      <c r="M6" s="23">
        <f t="shared" si="3"/>
        <v>34666.666666666664</v>
      </c>
      <c r="N6" s="23">
        <f t="shared" si="3"/>
        <v>34666.666666666664</v>
      </c>
      <c r="O6" s="23">
        <f t="shared" si="3"/>
        <v>34666.666666666664</v>
      </c>
      <c r="P6" s="23">
        <f t="shared" si="3"/>
        <v>34666.666666666664</v>
      </c>
      <c r="Q6" s="23">
        <f t="shared" si="3"/>
        <v>34666.666666666664</v>
      </c>
      <c r="R6" s="23">
        <f t="shared" si="3"/>
        <v>34666.666666666664</v>
      </c>
      <c r="S6" s="23">
        <f t="shared" si="3"/>
        <v>34666.666666666664</v>
      </c>
      <c r="T6" s="23">
        <f>$D$6/12</f>
        <v>34666.666666666664</v>
      </c>
      <c r="U6" s="23">
        <f aca="true" t="shared" si="4" ref="U6:AE6">$D$6/12</f>
        <v>34666.666666666664</v>
      </c>
      <c r="V6" s="23">
        <f t="shared" si="4"/>
        <v>34666.666666666664</v>
      </c>
      <c r="W6" s="23">
        <f t="shared" si="4"/>
        <v>34666.666666666664</v>
      </c>
      <c r="X6" s="23">
        <f t="shared" si="4"/>
        <v>34666.666666666664</v>
      </c>
      <c r="Y6" s="23">
        <f t="shared" si="4"/>
        <v>34666.666666666664</v>
      </c>
      <c r="Z6" s="23">
        <f t="shared" si="4"/>
        <v>34666.666666666664</v>
      </c>
      <c r="AA6" s="23">
        <f t="shared" si="4"/>
        <v>34666.666666666664</v>
      </c>
      <c r="AB6" s="23">
        <f t="shared" si="4"/>
        <v>34666.666666666664</v>
      </c>
      <c r="AC6" s="23">
        <f t="shared" si="4"/>
        <v>34666.666666666664</v>
      </c>
      <c r="AD6" s="23">
        <f t="shared" si="4"/>
        <v>34666.666666666664</v>
      </c>
      <c r="AE6" s="23">
        <f t="shared" si="4"/>
        <v>34666.666666666664</v>
      </c>
      <c r="AF6" s="23">
        <f>$E$6/12</f>
        <v>34666.666666666664</v>
      </c>
      <c r="AG6" s="23">
        <f aca="true" t="shared" si="5" ref="AG6:AQ6">$E$6/12</f>
        <v>34666.666666666664</v>
      </c>
      <c r="AH6" s="23">
        <f t="shared" si="5"/>
        <v>34666.666666666664</v>
      </c>
      <c r="AI6" s="23">
        <f t="shared" si="5"/>
        <v>34666.666666666664</v>
      </c>
      <c r="AJ6" s="23">
        <f t="shared" si="5"/>
        <v>34666.666666666664</v>
      </c>
      <c r="AK6" s="23">
        <f t="shared" si="5"/>
        <v>34666.666666666664</v>
      </c>
      <c r="AL6" s="23">
        <f t="shared" si="5"/>
        <v>34666.666666666664</v>
      </c>
      <c r="AM6" s="23">
        <f t="shared" si="5"/>
        <v>34666.666666666664</v>
      </c>
      <c r="AN6" s="23">
        <f t="shared" si="5"/>
        <v>34666.666666666664</v>
      </c>
      <c r="AO6" s="23">
        <f t="shared" si="5"/>
        <v>34666.666666666664</v>
      </c>
      <c r="AP6" s="23">
        <f t="shared" si="5"/>
        <v>34666.666666666664</v>
      </c>
      <c r="AQ6" s="112">
        <f t="shared" si="5"/>
        <v>34666.666666666664</v>
      </c>
    </row>
    <row r="7" spans="1:43" ht="12.75">
      <c r="A7" s="32"/>
      <c r="B7" s="26"/>
      <c r="C7" s="37"/>
      <c r="D7" s="47"/>
      <c r="E7" s="47"/>
      <c r="F7" s="108"/>
      <c r="H7" s="154"/>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155"/>
    </row>
    <row r="8" spans="1:43" ht="12.75">
      <c r="A8" s="32" t="s">
        <v>276</v>
      </c>
      <c r="B8" s="156"/>
      <c r="C8" s="23">
        <f>C101</f>
        <v>165000</v>
      </c>
      <c r="D8" s="23">
        <f>D101</f>
        <v>275000</v>
      </c>
      <c r="E8" s="23">
        <f>E101</f>
        <v>330000</v>
      </c>
      <c r="F8" s="108" t="s">
        <v>215</v>
      </c>
      <c r="H8" s="111">
        <f>C8/12</f>
        <v>13750</v>
      </c>
      <c r="I8" s="23">
        <f aca="true" t="shared" si="6" ref="I8:S8">$C$8/12</f>
        <v>13750</v>
      </c>
      <c r="J8" s="23">
        <f t="shared" si="6"/>
        <v>13750</v>
      </c>
      <c r="K8" s="23">
        <f t="shared" si="6"/>
        <v>13750</v>
      </c>
      <c r="L8" s="23">
        <f t="shared" si="6"/>
        <v>13750</v>
      </c>
      <c r="M8" s="23">
        <f t="shared" si="6"/>
        <v>13750</v>
      </c>
      <c r="N8" s="23">
        <f t="shared" si="6"/>
        <v>13750</v>
      </c>
      <c r="O8" s="23">
        <f t="shared" si="6"/>
        <v>13750</v>
      </c>
      <c r="P8" s="23">
        <f t="shared" si="6"/>
        <v>13750</v>
      </c>
      <c r="Q8" s="23">
        <f t="shared" si="6"/>
        <v>13750</v>
      </c>
      <c r="R8" s="23">
        <f t="shared" si="6"/>
        <v>13750</v>
      </c>
      <c r="S8" s="23">
        <f t="shared" si="6"/>
        <v>13750</v>
      </c>
      <c r="T8" s="23">
        <f aca="true" t="shared" si="7" ref="T8:AE8">$D$8/12</f>
        <v>22916.666666666668</v>
      </c>
      <c r="U8" s="23">
        <f t="shared" si="7"/>
        <v>22916.666666666668</v>
      </c>
      <c r="V8" s="23">
        <f t="shared" si="7"/>
        <v>22916.666666666668</v>
      </c>
      <c r="W8" s="23">
        <f t="shared" si="7"/>
        <v>22916.666666666668</v>
      </c>
      <c r="X8" s="23">
        <f t="shared" si="7"/>
        <v>22916.666666666668</v>
      </c>
      <c r="Y8" s="23">
        <f t="shared" si="7"/>
        <v>22916.666666666668</v>
      </c>
      <c r="Z8" s="23">
        <f t="shared" si="7"/>
        <v>22916.666666666668</v>
      </c>
      <c r="AA8" s="23">
        <f t="shared" si="7"/>
        <v>22916.666666666668</v>
      </c>
      <c r="AB8" s="23">
        <f t="shared" si="7"/>
        <v>22916.666666666668</v>
      </c>
      <c r="AC8" s="23">
        <f t="shared" si="7"/>
        <v>22916.666666666668</v>
      </c>
      <c r="AD8" s="23">
        <f t="shared" si="7"/>
        <v>22916.666666666668</v>
      </c>
      <c r="AE8" s="23">
        <f t="shared" si="7"/>
        <v>22916.666666666668</v>
      </c>
      <c r="AF8" s="23">
        <f aca="true" t="shared" si="8" ref="AF8:AQ8">$E$8/12</f>
        <v>27500</v>
      </c>
      <c r="AG8" s="23">
        <f t="shared" si="8"/>
        <v>27500</v>
      </c>
      <c r="AH8" s="23">
        <f t="shared" si="8"/>
        <v>27500</v>
      </c>
      <c r="AI8" s="23">
        <f t="shared" si="8"/>
        <v>27500</v>
      </c>
      <c r="AJ8" s="23">
        <f t="shared" si="8"/>
        <v>27500</v>
      </c>
      <c r="AK8" s="23">
        <f t="shared" si="8"/>
        <v>27500</v>
      </c>
      <c r="AL8" s="23">
        <f t="shared" si="8"/>
        <v>27500</v>
      </c>
      <c r="AM8" s="23">
        <f t="shared" si="8"/>
        <v>27500</v>
      </c>
      <c r="AN8" s="23">
        <f t="shared" si="8"/>
        <v>27500</v>
      </c>
      <c r="AO8" s="23">
        <f t="shared" si="8"/>
        <v>27500</v>
      </c>
      <c r="AP8" s="23">
        <f t="shared" si="8"/>
        <v>27500</v>
      </c>
      <c r="AQ8" s="112">
        <f t="shared" si="8"/>
        <v>27500</v>
      </c>
    </row>
    <row r="9" spans="1:43" ht="12.7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5" ht="12.75">
      <c r="A10" s="32" t="s">
        <v>277</v>
      </c>
      <c r="B10" s="26"/>
      <c r="C10" s="23">
        <f>C128</f>
        <v>75000</v>
      </c>
      <c r="D10" s="23">
        <f>D128</f>
        <v>75000</v>
      </c>
      <c r="E10" s="23">
        <f>E128</f>
        <v>75000</v>
      </c>
      <c r="F10" s="108" t="s">
        <v>215</v>
      </c>
      <c r="H10" s="111">
        <f>C10/12</f>
        <v>6250</v>
      </c>
      <c r="I10" s="23">
        <f aca="true" t="shared" si="9" ref="I10:S10">$C$10/12</f>
        <v>6250</v>
      </c>
      <c r="J10" s="23">
        <f t="shared" si="9"/>
        <v>6250</v>
      </c>
      <c r="K10" s="23">
        <f t="shared" si="9"/>
        <v>6250</v>
      </c>
      <c r="L10" s="23">
        <f t="shared" si="9"/>
        <v>6250</v>
      </c>
      <c r="M10" s="23">
        <f t="shared" si="9"/>
        <v>6250</v>
      </c>
      <c r="N10" s="23">
        <f t="shared" si="9"/>
        <v>6250</v>
      </c>
      <c r="O10" s="23">
        <f t="shared" si="9"/>
        <v>6250</v>
      </c>
      <c r="P10" s="23">
        <f t="shared" si="9"/>
        <v>6250</v>
      </c>
      <c r="Q10" s="23">
        <f t="shared" si="9"/>
        <v>6250</v>
      </c>
      <c r="R10" s="23">
        <f t="shared" si="9"/>
        <v>6250</v>
      </c>
      <c r="S10" s="23">
        <f t="shared" si="9"/>
        <v>6250</v>
      </c>
      <c r="T10" s="23">
        <f aca="true" t="shared" si="10" ref="T10:AE10">$D$10/12</f>
        <v>6250</v>
      </c>
      <c r="U10" s="23">
        <f t="shared" si="10"/>
        <v>6250</v>
      </c>
      <c r="V10" s="23">
        <f t="shared" si="10"/>
        <v>6250</v>
      </c>
      <c r="W10" s="23">
        <f t="shared" si="10"/>
        <v>6250</v>
      </c>
      <c r="X10" s="23">
        <f t="shared" si="10"/>
        <v>6250</v>
      </c>
      <c r="Y10" s="23">
        <f t="shared" si="10"/>
        <v>6250</v>
      </c>
      <c r="Z10" s="23">
        <f t="shared" si="10"/>
        <v>6250</v>
      </c>
      <c r="AA10" s="23">
        <f t="shared" si="10"/>
        <v>6250</v>
      </c>
      <c r="AB10" s="23">
        <f t="shared" si="10"/>
        <v>6250</v>
      </c>
      <c r="AC10" s="23">
        <f t="shared" si="10"/>
        <v>6250</v>
      </c>
      <c r="AD10" s="23">
        <f t="shared" si="10"/>
        <v>6250</v>
      </c>
      <c r="AE10" s="23">
        <f t="shared" si="10"/>
        <v>6250</v>
      </c>
      <c r="AF10" s="23">
        <f aca="true" t="shared" si="11" ref="AF10:AQ10">$E$10/12</f>
        <v>6250</v>
      </c>
      <c r="AG10" s="23">
        <f t="shared" si="11"/>
        <v>6250</v>
      </c>
      <c r="AH10" s="23">
        <f t="shared" si="11"/>
        <v>6250</v>
      </c>
      <c r="AI10" s="23">
        <f t="shared" si="11"/>
        <v>6250</v>
      </c>
      <c r="AJ10" s="23">
        <f t="shared" si="11"/>
        <v>6250</v>
      </c>
      <c r="AK10" s="23">
        <f t="shared" si="11"/>
        <v>6250</v>
      </c>
      <c r="AL10" s="23">
        <f t="shared" si="11"/>
        <v>6250</v>
      </c>
      <c r="AM10" s="23">
        <f t="shared" si="11"/>
        <v>6250</v>
      </c>
      <c r="AN10" s="23">
        <f t="shared" si="11"/>
        <v>6250</v>
      </c>
      <c r="AO10" s="23">
        <f t="shared" si="11"/>
        <v>6250</v>
      </c>
      <c r="AP10" s="23">
        <f t="shared" si="11"/>
        <v>6250</v>
      </c>
      <c r="AQ10" s="112">
        <f t="shared" si="11"/>
        <v>6250</v>
      </c>
      <c r="AR10" s="157"/>
      <c r="AS10" s="157"/>
    </row>
    <row r="11" spans="1:45" ht="12.75">
      <c r="A11" s="32"/>
      <c r="B11" s="26"/>
      <c r="C11" s="23"/>
      <c r="D11" s="23"/>
      <c r="E11" s="23"/>
      <c r="F11" s="108"/>
      <c r="H11" s="11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112"/>
      <c r="AR11" s="157"/>
      <c r="AS11" s="157"/>
    </row>
    <row r="12" spans="1:45" ht="12.75">
      <c r="A12" s="32" t="s">
        <v>278</v>
      </c>
      <c r="B12" s="26"/>
      <c r="C12" s="23">
        <f>C148</f>
        <v>25200</v>
      </c>
      <c r="D12" s="23">
        <f>D148</f>
        <v>29400</v>
      </c>
      <c r="E12" s="23">
        <f>E148</f>
        <v>36400</v>
      </c>
      <c r="F12" s="108" t="s">
        <v>215</v>
      </c>
      <c r="H12" s="111">
        <f>C12/12</f>
        <v>2100</v>
      </c>
      <c r="I12" s="23">
        <f aca="true" t="shared" si="12" ref="I12:S12">$C$12/12</f>
        <v>2100</v>
      </c>
      <c r="J12" s="23">
        <f t="shared" si="12"/>
        <v>2100</v>
      </c>
      <c r="K12" s="23">
        <f t="shared" si="12"/>
        <v>2100</v>
      </c>
      <c r="L12" s="23">
        <f t="shared" si="12"/>
        <v>2100</v>
      </c>
      <c r="M12" s="23">
        <f t="shared" si="12"/>
        <v>2100</v>
      </c>
      <c r="N12" s="23">
        <f t="shared" si="12"/>
        <v>2100</v>
      </c>
      <c r="O12" s="23">
        <f t="shared" si="12"/>
        <v>2100</v>
      </c>
      <c r="P12" s="23">
        <f t="shared" si="12"/>
        <v>2100</v>
      </c>
      <c r="Q12" s="23">
        <f t="shared" si="12"/>
        <v>2100</v>
      </c>
      <c r="R12" s="23">
        <f t="shared" si="12"/>
        <v>2100</v>
      </c>
      <c r="S12" s="23">
        <f t="shared" si="12"/>
        <v>2100</v>
      </c>
      <c r="T12" s="23">
        <f aca="true" t="shared" si="13" ref="T12:AE12">$D$12/12</f>
        <v>2450</v>
      </c>
      <c r="U12" s="23">
        <f t="shared" si="13"/>
        <v>2450</v>
      </c>
      <c r="V12" s="23">
        <f t="shared" si="13"/>
        <v>2450</v>
      </c>
      <c r="W12" s="23">
        <f t="shared" si="13"/>
        <v>2450</v>
      </c>
      <c r="X12" s="23">
        <f t="shared" si="13"/>
        <v>2450</v>
      </c>
      <c r="Y12" s="23">
        <f t="shared" si="13"/>
        <v>2450</v>
      </c>
      <c r="Z12" s="23">
        <f t="shared" si="13"/>
        <v>2450</v>
      </c>
      <c r="AA12" s="23">
        <f t="shared" si="13"/>
        <v>2450</v>
      </c>
      <c r="AB12" s="23">
        <f t="shared" si="13"/>
        <v>2450</v>
      </c>
      <c r="AC12" s="23">
        <f t="shared" si="13"/>
        <v>2450</v>
      </c>
      <c r="AD12" s="23">
        <f t="shared" si="13"/>
        <v>2450</v>
      </c>
      <c r="AE12" s="23">
        <f t="shared" si="13"/>
        <v>2450</v>
      </c>
      <c r="AF12" s="23">
        <f aca="true" t="shared" si="14" ref="AF12:AQ12">$E$12/12</f>
        <v>3033.3333333333335</v>
      </c>
      <c r="AG12" s="23">
        <f t="shared" si="14"/>
        <v>3033.3333333333335</v>
      </c>
      <c r="AH12" s="23">
        <f t="shared" si="14"/>
        <v>3033.3333333333335</v>
      </c>
      <c r="AI12" s="23">
        <f t="shared" si="14"/>
        <v>3033.3333333333335</v>
      </c>
      <c r="AJ12" s="23">
        <f t="shared" si="14"/>
        <v>3033.3333333333335</v>
      </c>
      <c r="AK12" s="23">
        <f t="shared" si="14"/>
        <v>3033.3333333333335</v>
      </c>
      <c r="AL12" s="23">
        <f t="shared" si="14"/>
        <v>3033.3333333333335</v>
      </c>
      <c r="AM12" s="23">
        <f t="shared" si="14"/>
        <v>3033.3333333333335</v>
      </c>
      <c r="AN12" s="23">
        <f t="shared" si="14"/>
        <v>3033.3333333333335</v>
      </c>
      <c r="AO12" s="23">
        <f t="shared" si="14"/>
        <v>3033.3333333333335</v>
      </c>
      <c r="AP12" s="23">
        <f t="shared" si="14"/>
        <v>3033.3333333333335</v>
      </c>
      <c r="AQ12" s="112">
        <f t="shared" si="14"/>
        <v>3033.3333333333335</v>
      </c>
      <c r="AR12" s="157"/>
      <c r="AS12" s="157"/>
    </row>
    <row r="13" spans="1:45" ht="12.7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2.75">
      <c r="A14" s="32" t="s">
        <v>279</v>
      </c>
      <c r="B14" s="26"/>
      <c r="C14" s="23">
        <f>C171</f>
        <v>7315.78947368421</v>
      </c>
      <c r="D14" s="23">
        <f>D171</f>
        <v>29263.15789473684</v>
      </c>
      <c r="E14" s="23">
        <f>E171</f>
        <v>109736.84210526316</v>
      </c>
      <c r="F14" s="108" t="s">
        <v>215</v>
      </c>
      <c r="H14" s="111">
        <f>C14/12</f>
        <v>609.6491228070175</v>
      </c>
      <c r="I14" s="23">
        <f>$C$14/12</f>
        <v>609.6491228070175</v>
      </c>
      <c r="J14" s="23">
        <f aca="true" t="shared" si="15" ref="J14:R14">$C$14/12</f>
        <v>609.6491228070175</v>
      </c>
      <c r="K14" s="23">
        <f t="shared" si="15"/>
        <v>609.6491228070175</v>
      </c>
      <c r="L14" s="23">
        <f t="shared" si="15"/>
        <v>609.6491228070175</v>
      </c>
      <c r="M14" s="23">
        <f t="shared" si="15"/>
        <v>609.6491228070175</v>
      </c>
      <c r="N14" s="23">
        <f t="shared" si="15"/>
        <v>609.6491228070175</v>
      </c>
      <c r="O14" s="23">
        <f t="shared" si="15"/>
        <v>609.6491228070175</v>
      </c>
      <c r="P14" s="23">
        <f t="shared" si="15"/>
        <v>609.6491228070175</v>
      </c>
      <c r="Q14" s="23">
        <f t="shared" si="15"/>
        <v>609.6491228070175</v>
      </c>
      <c r="R14" s="23">
        <f t="shared" si="15"/>
        <v>609.6491228070175</v>
      </c>
      <c r="S14" s="23">
        <f>$D$14/12</f>
        <v>2438.59649122807</v>
      </c>
      <c r="T14" s="23">
        <f aca="true" t="shared" si="16" ref="T14:AE14">$D$14/12</f>
        <v>2438.59649122807</v>
      </c>
      <c r="U14" s="23">
        <f t="shared" si="16"/>
        <v>2438.59649122807</v>
      </c>
      <c r="V14" s="23">
        <f t="shared" si="16"/>
        <v>2438.59649122807</v>
      </c>
      <c r="W14" s="23">
        <f t="shared" si="16"/>
        <v>2438.59649122807</v>
      </c>
      <c r="X14" s="23">
        <f t="shared" si="16"/>
        <v>2438.59649122807</v>
      </c>
      <c r="Y14" s="23">
        <f t="shared" si="16"/>
        <v>2438.59649122807</v>
      </c>
      <c r="Z14" s="23">
        <f t="shared" si="16"/>
        <v>2438.59649122807</v>
      </c>
      <c r="AA14" s="23">
        <f t="shared" si="16"/>
        <v>2438.59649122807</v>
      </c>
      <c r="AB14" s="23">
        <f t="shared" si="16"/>
        <v>2438.59649122807</v>
      </c>
      <c r="AC14" s="23">
        <f t="shared" si="16"/>
        <v>2438.59649122807</v>
      </c>
      <c r="AD14" s="23">
        <f t="shared" si="16"/>
        <v>2438.59649122807</v>
      </c>
      <c r="AE14" s="23">
        <f t="shared" si="16"/>
        <v>2438.59649122807</v>
      </c>
      <c r="AF14" s="23">
        <f>$E$14/12</f>
        <v>9144.736842105263</v>
      </c>
      <c r="AG14" s="23">
        <f aca="true" t="shared" si="17" ref="AG14:AQ14">$E$14/12</f>
        <v>9144.736842105263</v>
      </c>
      <c r="AH14" s="23">
        <f t="shared" si="17"/>
        <v>9144.736842105263</v>
      </c>
      <c r="AI14" s="23">
        <f t="shared" si="17"/>
        <v>9144.736842105263</v>
      </c>
      <c r="AJ14" s="23">
        <f t="shared" si="17"/>
        <v>9144.736842105263</v>
      </c>
      <c r="AK14" s="23">
        <f t="shared" si="17"/>
        <v>9144.736842105263</v>
      </c>
      <c r="AL14" s="23">
        <f t="shared" si="17"/>
        <v>9144.736842105263</v>
      </c>
      <c r="AM14" s="23">
        <f t="shared" si="17"/>
        <v>9144.736842105263</v>
      </c>
      <c r="AN14" s="23">
        <f t="shared" si="17"/>
        <v>9144.736842105263</v>
      </c>
      <c r="AO14" s="23">
        <f t="shared" si="17"/>
        <v>9144.736842105263</v>
      </c>
      <c r="AP14" s="23">
        <f t="shared" si="17"/>
        <v>9144.736842105263</v>
      </c>
      <c r="AQ14" s="112">
        <f t="shared" si="17"/>
        <v>9144.736842105263</v>
      </c>
      <c r="AR14" s="157"/>
      <c r="AS14" s="157"/>
    </row>
    <row r="15" spans="1:45" ht="12.7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2.75">
      <c r="A16" s="32" t="s">
        <v>280</v>
      </c>
      <c r="B16" s="26"/>
      <c r="C16" s="23">
        <f>C203</f>
        <v>0</v>
      </c>
      <c r="D16" s="23">
        <f>D203</f>
        <v>177529.82456140348</v>
      </c>
      <c r="E16" s="23">
        <f>E203</f>
        <v>397978.94736842107</v>
      </c>
      <c r="F16" s="108" t="s">
        <v>216</v>
      </c>
      <c r="H16" s="111">
        <f>C16/12</f>
        <v>0</v>
      </c>
      <c r="I16" s="23">
        <f aca="true" t="shared" si="18" ref="I16:S16">$C$16/12</f>
        <v>0</v>
      </c>
      <c r="J16" s="23">
        <f t="shared" si="18"/>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 aca="true" t="shared" si="19" ref="T16:AE16">$D$16/12</f>
        <v>14794.152046783624</v>
      </c>
      <c r="U16" s="23">
        <f t="shared" si="19"/>
        <v>14794.152046783624</v>
      </c>
      <c r="V16" s="23">
        <f t="shared" si="19"/>
        <v>14794.152046783624</v>
      </c>
      <c r="W16" s="23">
        <f t="shared" si="19"/>
        <v>14794.152046783624</v>
      </c>
      <c r="X16" s="23">
        <f t="shared" si="19"/>
        <v>14794.152046783624</v>
      </c>
      <c r="Y16" s="23">
        <f t="shared" si="19"/>
        <v>14794.152046783624</v>
      </c>
      <c r="Z16" s="23">
        <f t="shared" si="19"/>
        <v>14794.152046783624</v>
      </c>
      <c r="AA16" s="23">
        <f t="shared" si="19"/>
        <v>14794.152046783624</v>
      </c>
      <c r="AB16" s="23">
        <f t="shared" si="19"/>
        <v>14794.152046783624</v>
      </c>
      <c r="AC16" s="23">
        <f t="shared" si="19"/>
        <v>14794.152046783624</v>
      </c>
      <c r="AD16" s="23">
        <f t="shared" si="19"/>
        <v>14794.152046783624</v>
      </c>
      <c r="AE16" s="23">
        <f t="shared" si="19"/>
        <v>14794.152046783624</v>
      </c>
      <c r="AF16" s="23">
        <f aca="true" t="shared" si="20" ref="AF16:AQ16">$E$16/12</f>
        <v>33164.912280701756</v>
      </c>
      <c r="AG16" s="23">
        <f t="shared" si="20"/>
        <v>33164.912280701756</v>
      </c>
      <c r="AH16" s="23">
        <f t="shared" si="20"/>
        <v>33164.912280701756</v>
      </c>
      <c r="AI16" s="23">
        <f t="shared" si="20"/>
        <v>33164.912280701756</v>
      </c>
      <c r="AJ16" s="23">
        <f t="shared" si="20"/>
        <v>33164.912280701756</v>
      </c>
      <c r="AK16" s="23">
        <f t="shared" si="20"/>
        <v>33164.912280701756</v>
      </c>
      <c r="AL16" s="23">
        <f t="shared" si="20"/>
        <v>33164.912280701756</v>
      </c>
      <c r="AM16" s="23">
        <f t="shared" si="20"/>
        <v>33164.912280701756</v>
      </c>
      <c r="AN16" s="23">
        <f t="shared" si="20"/>
        <v>33164.912280701756</v>
      </c>
      <c r="AO16" s="23">
        <f t="shared" si="20"/>
        <v>33164.912280701756</v>
      </c>
      <c r="AP16" s="23">
        <f t="shared" si="20"/>
        <v>33164.912280701756</v>
      </c>
      <c r="AQ16" s="112">
        <f t="shared" si="20"/>
        <v>33164.912280701756</v>
      </c>
    </row>
    <row r="17" spans="1:43" ht="12.75">
      <c r="A17" s="32"/>
      <c r="B17" s="156"/>
      <c r="C17" s="26"/>
      <c r="D17" s="26"/>
      <c r="E17" s="26"/>
      <c r="F17" s="108"/>
      <c r="H17" s="32"/>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108"/>
    </row>
    <row r="18" spans="1:45" ht="12.75">
      <c r="A18" s="32" t="s">
        <v>281</v>
      </c>
      <c r="B18" s="26"/>
      <c r="C18" s="23">
        <f>C225</f>
        <v>0</v>
      </c>
      <c r="D18" s="23">
        <f>D225</f>
        <v>33833.333333333336</v>
      </c>
      <c r="E18" s="23">
        <f>E225</f>
        <v>35525</v>
      </c>
      <c r="F18" s="108" t="s">
        <v>216</v>
      </c>
      <c r="H18" s="111">
        <f>C18/12</f>
        <v>0</v>
      </c>
      <c r="I18" s="23">
        <f aca="true" t="shared" si="21" ref="I18:S18">$C$18/12</f>
        <v>0</v>
      </c>
      <c r="J18" s="23">
        <f t="shared" si="21"/>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 aca="true" t="shared" si="22" ref="T18:AE18">$D$18/12</f>
        <v>2819.444444444445</v>
      </c>
      <c r="U18" s="23">
        <f t="shared" si="22"/>
        <v>2819.444444444445</v>
      </c>
      <c r="V18" s="23">
        <f t="shared" si="22"/>
        <v>2819.444444444445</v>
      </c>
      <c r="W18" s="23">
        <f t="shared" si="22"/>
        <v>2819.444444444445</v>
      </c>
      <c r="X18" s="23">
        <f t="shared" si="22"/>
        <v>2819.444444444445</v>
      </c>
      <c r="Y18" s="23">
        <f t="shared" si="22"/>
        <v>2819.444444444445</v>
      </c>
      <c r="Z18" s="23">
        <f t="shared" si="22"/>
        <v>2819.444444444445</v>
      </c>
      <c r="AA18" s="23">
        <f t="shared" si="22"/>
        <v>2819.444444444445</v>
      </c>
      <c r="AB18" s="23">
        <f t="shared" si="22"/>
        <v>2819.444444444445</v>
      </c>
      <c r="AC18" s="23">
        <f t="shared" si="22"/>
        <v>2819.444444444445</v>
      </c>
      <c r="AD18" s="23">
        <f t="shared" si="22"/>
        <v>2819.444444444445</v>
      </c>
      <c r="AE18" s="23">
        <f t="shared" si="22"/>
        <v>2819.444444444445</v>
      </c>
      <c r="AF18" s="23">
        <f aca="true" t="shared" si="23" ref="AF18:AQ18">$E$18/12</f>
        <v>2960.4166666666665</v>
      </c>
      <c r="AG18" s="23">
        <f t="shared" si="23"/>
        <v>2960.4166666666665</v>
      </c>
      <c r="AH18" s="23">
        <f t="shared" si="23"/>
        <v>2960.4166666666665</v>
      </c>
      <c r="AI18" s="23">
        <f t="shared" si="23"/>
        <v>2960.4166666666665</v>
      </c>
      <c r="AJ18" s="23">
        <f t="shared" si="23"/>
        <v>2960.4166666666665</v>
      </c>
      <c r="AK18" s="23">
        <f t="shared" si="23"/>
        <v>2960.4166666666665</v>
      </c>
      <c r="AL18" s="23">
        <f t="shared" si="23"/>
        <v>2960.4166666666665</v>
      </c>
      <c r="AM18" s="23">
        <f t="shared" si="23"/>
        <v>2960.4166666666665</v>
      </c>
      <c r="AN18" s="23">
        <f t="shared" si="23"/>
        <v>2960.4166666666665</v>
      </c>
      <c r="AO18" s="23">
        <f t="shared" si="23"/>
        <v>2960.4166666666665</v>
      </c>
      <c r="AP18" s="23">
        <f t="shared" si="23"/>
        <v>2960.4166666666665</v>
      </c>
      <c r="AQ18" s="112">
        <f t="shared" si="23"/>
        <v>2960.4166666666665</v>
      </c>
      <c r="AR18" s="157"/>
      <c r="AS18" s="157"/>
    </row>
    <row r="19" spans="1:45" ht="12.7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5" ht="12.75">
      <c r="A20" s="32" t="s">
        <v>282</v>
      </c>
      <c r="B20" s="26"/>
      <c r="C20" s="23">
        <f>C274</f>
        <v>0</v>
      </c>
      <c r="D20" s="23">
        <f>D274</f>
        <v>843531</v>
      </c>
      <c r="E20" s="23">
        <f>E274</f>
        <v>3560479.2375</v>
      </c>
      <c r="F20" s="108" t="s">
        <v>216</v>
      </c>
      <c r="H20" s="111">
        <f>C20/12</f>
        <v>0</v>
      </c>
      <c r="I20" s="23">
        <f>$C$20/12</f>
        <v>0</v>
      </c>
      <c r="J20" s="23">
        <f aca="true" t="shared" si="24" ref="J20:S20">$C$20/12</f>
        <v>0</v>
      </c>
      <c r="K20" s="23">
        <f t="shared" si="24"/>
        <v>0</v>
      </c>
      <c r="L20" s="23">
        <f t="shared" si="24"/>
        <v>0</v>
      </c>
      <c r="M20" s="23">
        <f t="shared" si="24"/>
        <v>0</v>
      </c>
      <c r="N20" s="23">
        <f t="shared" si="24"/>
        <v>0</v>
      </c>
      <c r="O20" s="23">
        <f t="shared" si="24"/>
        <v>0</v>
      </c>
      <c r="P20" s="23">
        <f t="shared" si="24"/>
        <v>0</v>
      </c>
      <c r="Q20" s="23">
        <f t="shared" si="24"/>
        <v>0</v>
      </c>
      <c r="R20" s="23">
        <f t="shared" si="24"/>
        <v>0</v>
      </c>
      <c r="S20" s="23">
        <f t="shared" si="24"/>
        <v>0</v>
      </c>
      <c r="T20" s="23">
        <f>$D$20/12</f>
        <v>70294.25</v>
      </c>
      <c r="U20" s="23">
        <f aca="true" t="shared" si="25" ref="U20:AE20">$D$20/12</f>
        <v>70294.25</v>
      </c>
      <c r="V20" s="23">
        <f t="shared" si="25"/>
        <v>70294.25</v>
      </c>
      <c r="W20" s="23">
        <f t="shared" si="25"/>
        <v>70294.25</v>
      </c>
      <c r="X20" s="23">
        <f t="shared" si="25"/>
        <v>70294.25</v>
      </c>
      <c r="Y20" s="23">
        <f t="shared" si="25"/>
        <v>70294.25</v>
      </c>
      <c r="Z20" s="23">
        <f t="shared" si="25"/>
        <v>70294.25</v>
      </c>
      <c r="AA20" s="23">
        <f t="shared" si="25"/>
        <v>70294.25</v>
      </c>
      <c r="AB20" s="23">
        <f t="shared" si="25"/>
        <v>70294.25</v>
      </c>
      <c r="AC20" s="23">
        <f t="shared" si="25"/>
        <v>70294.25</v>
      </c>
      <c r="AD20" s="23">
        <f t="shared" si="25"/>
        <v>70294.25</v>
      </c>
      <c r="AE20" s="23">
        <f t="shared" si="25"/>
        <v>70294.25</v>
      </c>
      <c r="AF20" s="23">
        <f>$E$20/12</f>
        <v>296706.60312499997</v>
      </c>
      <c r="AG20" s="23">
        <f aca="true" t="shared" si="26" ref="AG20:AQ20">$E$20/12</f>
        <v>296706.60312499997</v>
      </c>
      <c r="AH20" s="23">
        <f t="shared" si="26"/>
        <v>296706.60312499997</v>
      </c>
      <c r="AI20" s="23">
        <f t="shared" si="26"/>
        <v>296706.60312499997</v>
      </c>
      <c r="AJ20" s="23">
        <f t="shared" si="26"/>
        <v>296706.60312499997</v>
      </c>
      <c r="AK20" s="23">
        <f t="shared" si="26"/>
        <v>296706.60312499997</v>
      </c>
      <c r="AL20" s="23">
        <f t="shared" si="26"/>
        <v>296706.60312499997</v>
      </c>
      <c r="AM20" s="23">
        <f t="shared" si="26"/>
        <v>296706.60312499997</v>
      </c>
      <c r="AN20" s="23">
        <f t="shared" si="26"/>
        <v>296706.60312499997</v>
      </c>
      <c r="AO20" s="23">
        <f t="shared" si="26"/>
        <v>296706.60312499997</v>
      </c>
      <c r="AP20" s="23">
        <f t="shared" si="26"/>
        <v>296706.60312499997</v>
      </c>
      <c r="AQ20" s="112">
        <f t="shared" si="26"/>
        <v>296706.60312499997</v>
      </c>
      <c r="AR20" s="157"/>
      <c r="AS20" s="157"/>
    </row>
    <row r="21" spans="1:43" ht="12.75">
      <c r="A21" s="32"/>
      <c r="B21" s="156"/>
      <c r="C21" s="26"/>
      <c r="D21" s="26"/>
      <c r="E21" s="26"/>
      <c r="F21" s="108"/>
      <c r="H21" s="3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108"/>
    </row>
    <row r="22" spans="1:43" ht="12.75">
      <c r="A22" s="32" t="s">
        <v>283</v>
      </c>
      <c r="B22" s="156"/>
      <c r="C22" s="153">
        <f>C308</f>
        <v>0</v>
      </c>
      <c r="D22" s="153">
        <f>D308</f>
        <v>49750</v>
      </c>
      <c r="E22" s="153">
        <f>E308</f>
        <v>74625</v>
      </c>
      <c r="F22" s="108" t="s">
        <v>216</v>
      </c>
      <c r="H22" s="158">
        <f>C22/12</f>
        <v>0</v>
      </c>
      <c r="I22" s="153">
        <f>$C$22/12</f>
        <v>0</v>
      </c>
      <c r="J22" s="153">
        <f aca="true" t="shared" si="27" ref="J22:S22">$C$22/12</f>
        <v>0</v>
      </c>
      <c r="K22" s="153">
        <f t="shared" si="27"/>
        <v>0</v>
      </c>
      <c r="L22" s="153">
        <f t="shared" si="27"/>
        <v>0</v>
      </c>
      <c r="M22" s="153">
        <f t="shared" si="27"/>
        <v>0</v>
      </c>
      <c r="N22" s="153">
        <f t="shared" si="27"/>
        <v>0</v>
      </c>
      <c r="O22" s="153">
        <f t="shared" si="27"/>
        <v>0</v>
      </c>
      <c r="P22" s="153">
        <f t="shared" si="27"/>
        <v>0</v>
      </c>
      <c r="Q22" s="153">
        <f t="shared" si="27"/>
        <v>0</v>
      </c>
      <c r="R22" s="153">
        <f t="shared" si="27"/>
        <v>0</v>
      </c>
      <c r="S22" s="153">
        <f t="shared" si="27"/>
        <v>0</v>
      </c>
      <c r="T22" s="153">
        <f>$D$22/12</f>
        <v>4145.833333333333</v>
      </c>
      <c r="U22" s="153">
        <f aca="true" t="shared" si="28" ref="U22:AE22">$D$22/12</f>
        <v>4145.833333333333</v>
      </c>
      <c r="V22" s="153">
        <f t="shared" si="28"/>
        <v>4145.833333333333</v>
      </c>
      <c r="W22" s="153">
        <f t="shared" si="28"/>
        <v>4145.833333333333</v>
      </c>
      <c r="X22" s="153">
        <f t="shared" si="28"/>
        <v>4145.833333333333</v>
      </c>
      <c r="Y22" s="153">
        <f t="shared" si="28"/>
        <v>4145.833333333333</v>
      </c>
      <c r="Z22" s="153">
        <f t="shared" si="28"/>
        <v>4145.833333333333</v>
      </c>
      <c r="AA22" s="153">
        <f t="shared" si="28"/>
        <v>4145.833333333333</v>
      </c>
      <c r="AB22" s="153">
        <f t="shared" si="28"/>
        <v>4145.833333333333</v>
      </c>
      <c r="AC22" s="153">
        <f t="shared" si="28"/>
        <v>4145.833333333333</v>
      </c>
      <c r="AD22" s="153">
        <f t="shared" si="28"/>
        <v>4145.833333333333</v>
      </c>
      <c r="AE22" s="153">
        <f t="shared" si="28"/>
        <v>4145.833333333333</v>
      </c>
      <c r="AF22" s="153">
        <f>$E$22/12</f>
        <v>6218.75</v>
      </c>
      <c r="AG22" s="153">
        <f aca="true" t="shared" si="29" ref="AG22:AQ22">$E$22/12</f>
        <v>6218.75</v>
      </c>
      <c r="AH22" s="153">
        <f t="shared" si="29"/>
        <v>6218.75</v>
      </c>
      <c r="AI22" s="153">
        <f t="shared" si="29"/>
        <v>6218.75</v>
      </c>
      <c r="AJ22" s="153">
        <f t="shared" si="29"/>
        <v>6218.75</v>
      </c>
      <c r="AK22" s="153">
        <f t="shared" si="29"/>
        <v>6218.75</v>
      </c>
      <c r="AL22" s="153">
        <f t="shared" si="29"/>
        <v>6218.75</v>
      </c>
      <c r="AM22" s="153">
        <f t="shared" si="29"/>
        <v>6218.75</v>
      </c>
      <c r="AN22" s="153">
        <f t="shared" si="29"/>
        <v>6218.75</v>
      </c>
      <c r="AO22" s="153">
        <f t="shared" si="29"/>
        <v>6218.75</v>
      </c>
      <c r="AP22" s="153">
        <f t="shared" si="29"/>
        <v>6218.75</v>
      </c>
      <c r="AQ22" s="112">
        <f t="shared" si="29"/>
        <v>6218.75</v>
      </c>
    </row>
    <row r="23" spans="1:43" ht="12.75">
      <c r="A23" s="32"/>
      <c r="B23" s="156"/>
      <c r="C23" s="26"/>
      <c r="D23" s="26"/>
      <c r="E23" s="26"/>
      <c r="F23" s="108"/>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108"/>
    </row>
    <row r="24" spans="1:43" ht="12.75">
      <c r="A24" s="32" t="s">
        <v>284</v>
      </c>
      <c r="B24" s="26"/>
      <c r="C24" s="23">
        <v>0</v>
      </c>
      <c r="D24" s="23">
        <v>0</v>
      </c>
      <c r="E24" s="23">
        <v>0</v>
      </c>
      <c r="F24" s="108" t="s">
        <v>217</v>
      </c>
      <c r="H24" s="111">
        <f>C24/12</f>
        <v>0</v>
      </c>
      <c r="I24" s="23">
        <f>$C$24/12</f>
        <v>0</v>
      </c>
      <c r="J24" s="23">
        <f aca="true" t="shared" si="30" ref="J24:S24">$C$24/12</f>
        <v>0</v>
      </c>
      <c r="K24" s="23">
        <f t="shared" si="30"/>
        <v>0</v>
      </c>
      <c r="L24" s="23">
        <f t="shared" si="30"/>
        <v>0</v>
      </c>
      <c r="M24" s="23">
        <f t="shared" si="30"/>
        <v>0</v>
      </c>
      <c r="N24" s="23">
        <f t="shared" si="30"/>
        <v>0</v>
      </c>
      <c r="O24" s="23">
        <f t="shared" si="30"/>
        <v>0</v>
      </c>
      <c r="P24" s="23">
        <f t="shared" si="30"/>
        <v>0</v>
      </c>
      <c r="Q24" s="23">
        <f t="shared" si="30"/>
        <v>0</v>
      </c>
      <c r="R24" s="23">
        <f t="shared" si="30"/>
        <v>0</v>
      </c>
      <c r="S24" s="23">
        <f t="shared" si="30"/>
        <v>0</v>
      </c>
      <c r="T24" s="23">
        <f>$D$24/12</f>
        <v>0</v>
      </c>
      <c r="U24" s="23">
        <f aca="true" t="shared" si="31" ref="U24:AE24">$D$24/12</f>
        <v>0</v>
      </c>
      <c r="V24" s="23">
        <f t="shared" si="31"/>
        <v>0</v>
      </c>
      <c r="W24" s="23">
        <f t="shared" si="31"/>
        <v>0</v>
      </c>
      <c r="X24" s="23">
        <f t="shared" si="31"/>
        <v>0</v>
      </c>
      <c r="Y24" s="23">
        <f t="shared" si="31"/>
        <v>0</v>
      </c>
      <c r="Z24" s="23">
        <f t="shared" si="31"/>
        <v>0</v>
      </c>
      <c r="AA24" s="23">
        <f t="shared" si="31"/>
        <v>0</v>
      </c>
      <c r="AB24" s="23">
        <f t="shared" si="31"/>
        <v>0</v>
      </c>
      <c r="AC24" s="23">
        <f t="shared" si="31"/>
        <v>0</v>
      </c>
      <c r="AD24" s="23">
        <f t="shared" si="31"/>
        <v>0</v>
      </c>
      <c r="AE24" s="23">
        <f t="shared" si="31"/>
        <v>0</v>
      </c>
      <c r="AF24" s="23">
        <f>$E$24/12</f>
        <v>0</v>
      </c>
      <c r="AG24" s="23">
        <f aca="true" t="shared" si="32" ref="AG24:AQ24">$E$24/12</f>
        <v>0</v>
      </c>
      <c r="AH24" s="23">
        <f t="shared" si="32"/>
        <v>0</v>
      </c>
      <c r="AI24" s="23">
        <f t="shared" si="32"/>
        <v>0</v>
      </c>
      <c r="AJ24" s="23">
        <f t="shared" si="32"/>
        <v>0</v>
      </c>
      <c r="AK24" s="23">
        <f t="shared" si="32"/>
        <v>0</v>
      </c>
      <c r="AL24" s="23">
        <f t="shared" si="32"/>
        <v>0</v>
      </c>
      <c r="AM24" s="23">
        <f t="shared" si="32"/>
        <v>0</v>
      </c>
      <c r="AN24" s="23">
        <f t="shared" si="32"/>
        <v>0</v>
      </c>
      <c r="AO24" s="23">
        <f t="shared" si="32"/>
        <v>0</v>
      </c>
      <c r="AP24" s="23">
        <f t="shared" si="32"/>
        <v>0</v>
      </c>
      <c r="AQ24" s="112">
        <f t="shared" si="32"/>
        <v>0</v>
      </c>
    </row>
    <row r="25" spans="1:43" ht="12.75">
      <c r="A25" s="32"/>
      <c r="B25" s="26"/>
      <c r="C25" s="37"/>
      <c r="D25" s="47"/>
      <c r="E25" s="47"/>
      <c r="F25" s="108"/>
      <c r="H25" s="154"/>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155"/>
    </row>
    <row r="26" spans="1:43" s="138" customFormat="1" ht="13.5" thickBot="1">
      <c r="A26" s="159"/>
      <c r="B26" s="160"/>
      <c r="F26" s="161"/>
      <c r="H26" s="159"/>
      <c r="AQ26" s="161"/>
    </row>
    <row r="27" spans="1:43" ht="12.75">
      <c r="A27" s="32"/>
      <c r="B27" s="26"/>
      <c r="C27" s="26"/>
      <c r="D27" s="26"/>
      <c r="E27" s="26"/>
      <c r="F27" s="108"/>
      <c r="H27" s="111"/>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112"/>
    </row>
    <row r="28" spans="1:43" ht="12.75">
      <c r="A28" s="162" t="s">
        <v>218</v>
      </c>
      <c r="B28" s="26"/>
      <c r="C28" s="23">
        <f>SUM(C4:C25)</f>
        <v>706268.7719298245</v>
      </c>
      <c r="D28" s="23">
        <f>SUM(D4:D25)</f>
        <v>1979015.6666666667</v>
      </c>
      <c r="E28" s="23">
        <f>SUM(E4:E25)</f>
        <v>5131611.132236842</v>
      </c>
      <c r="F28" s="108"/>
      <c r="H28" s="111">
        <f aca="true" t="shared" si="33" ref="H28:AQ28">SUM(H4:H25)</f>
        <v>58855.73099415204</v>
      </c>
      <c r="I28" s="23">
        <f t="shared" si="33"/>
        <v>58855.73099415204</v>
      </c>
      <c r="J28" s="23">
        <f t="shared" si="33"/>
        <v>58855.73099415204</v>
      </c>
      <c r="K28" s="23">
        <f t="shared" si="33"/>
        <v>58855.73099415204</v>
      </c>
      <c r="L28" s="23">
        <f t="shared" si="33"/>
        <v>58855.73099415204</v>
      </c>
      <c r="M28" s="23">
        <f t="shared" si="33"/>
        <v>58855.73099415204</v>
      </c>
      <c r="N28" s="23">
        <f t="shared" si="33"/>
        <v>58855.73099415204</v>
      </c>
      <c r="O28" s="23">
        <f t="shared" si="33"/>
        <v>58855.73099415204</v>
      </c>
      <c r="P28" s="23">
        <f t="shared" si="33"/>
        <v>58855.73099415204</v>
      </c>
      <c r="Q28" s="23">
        <f t="shared" si="33"/>
        <v>58855.73099415204</v>
      </c>
      <c r="R28" s="23">
        <f t="shared" si="33"/>
        <v>58855.73099415204</v>
      </c>
      <c r="S28" s="23">
        <f t="shared" si="33"/>
        <v>60684.6783625731</v>
      </c>
      <c r="T28" s="23">
        <f t="shared" si="33"/>
        <v>164917.97222222222</v>
      </c>
      <c r="U28" s="23">
        <f t="shared" si="33"/>
        <v>164917.97222222222</v>
      </c>
      <c r="V28" s="23">
        <f t="shared" si="33"/>
        <v>164917.97222222222</v>
      </c>
      <c r="W28" s="23">
        <f t="shared" si="33"/>
        <v>164917.97222222222</v>
      </c>
      <c r="X28" s="23">
        <f t="shared" si="33"/>
        <v>164917.97222222222</v>
      </c>
      <c r="Y28" s="23">
        <f t="shared" si="33"/>
        <v>164917.97222222222</v>
      </c>
      <c r="Z28" s="23">
        <f t="shared" si="33"/>
        <v>164917.97222222222</v>
      </c>
      <c r="AA28" s="23">
        <f t="shared" si="33"/>
        <v>164917.97222222222</v>
      </c>
      <c r="AB28" s="23">
        <f t="shared" si="33"/>
        <v>164917.97222222222</v>
      </c>
      <c r="AC28" s="23">
        <f t="shared" si="33"/>
        <v>164917.97222222222</v>
      </c>
      <c r="AD28" s="23">
        <f t="shared" si="33"/>
        <v>164917.97222222222</v>
      </c>
      <c r="AE28" s="23">
        <f t="shared" si="33"/>
        <v>164917.97222222222</v>
      </c>
      <c r="AF28" s="23">
        <f t="shared" si="33"/>
        <v>427634.2610197368</v>
      </c>
      <c r="AG28" s="23">
        <f t="shared" si="33"/>
        <v>427634.2610197368</v>
      </c>
      <c r="AH28" s="23">
        <f t="shared" si="33"/>
        <v>427634.2610197368</v>
      </c>
      <c r="AI28" s="23">
        <f t="shared" si="33"/>
        <v>427634.2610197368</v>
      </c>
      <c r="AJ28" s="23">
        <f t="shared" si="33"/>
        <v>427634.2610197368</v>
      </c>
      <c r="AK28" s="23">
        <f t="shared" si="33"/>
        <v>427634.2610197368</v>
      </c>
      <c r="AL28" s="23">
        <f t="shared" si="33"/>
        <v>427634.2610197368</v>
      </c>
      <c r="AM28" s="23">
        <f t="shared" si="33"/>
        <v>427634.2610197368</v>
      </c>
      <c r="AN28" s="23">
        <f t="shared" si="33"/>
        <v>427634.2610197368</v>
      </c>
      <c r="AO28" s="23">
        <f t="shared" si="33"/>
        <v>427634.2610197368</v>
      </c>
      <c r="AP28" s="23">
        <f t="shared" si="33"/>
        <v>427634.2610197368</v>
      </c>
      <c r="AQ28" s="112">
        <f t="shared" si="33"/>
        <v>427634.2610197368</v>
      </c>
    </row>
    <row r="29" spans="1:43" ht="13.5" thickBot="1">
      <c r="A29" s="159"/>
      <c r="B29" s="138"/>
      <c r="C29" s="138"/>
      <c r="D29" s="138"/>
      <c r="E29" s="138"/>
      <c r="F29" s="161"/>
      <c r="H29" s="159"/>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61"/>
    </row>
    <row r="30" ht="12.75"/>
    <row r="31" ht="12.75">
      <c r="A31" s="163"/>
    </row>
    <row r="32" ht="13.5" thickBot="1"/>
    <row r="33" spans="3:4" ht="13.5" thickBot="1">
      <c r="C33" s="128"/>
      <c r="D33" s="25" t="s">
        <v>181</v>
      </c>
    </row>
    <row r="34" ht="12.75"/>
    <row r="35" ht="12.75">
      <c r="A35" s="99" t="s">
        <v>219</v>
      </c>
    </row>
    <row r="36" spans="1:10" ht="12.75">
      <c r="A36" s="99"/>
      <c r="B36" s="25" t="s">
        <v>220</v>
      </c>
      <c r="H36" s="136"/>
      <c r="I36" s="136"/>
      <c r="J36" s="136"/>
    </row>
    <row r="37" spans="1:2" ht="12.75">
      <c r="A37" s="99"/>
      <c r="B37" s="164" t="s">
        <v>221</v>
      </c>
    </row>
    <row r="38" ht="13.5" thickBot="1"/>
    <row r="39" spans="1:5" ht="12.75">
      <c r="A39" s="70" t="s">
        <v>197</v>
      </c>
      <c r="B39" s="71"/>
      <c r="C39" s="71"/>
      <c r="D39" s="71"/>
      <c r="E39" s="331"/>
    </row>
    <row r="40" spans="1:5" ht="12.75">
      <c r="A40" s="16"/>
      <c r="B40" s="48"/>
      <c r="C40" s="55" t="s">
        <v>319</v>
      </c>
      <c r="D40" s="55" t="s">
        <v>320</v>
      </c>
      <c r="E40" s="130" t="s">
        <v>321</v>
      </c>
    </row>
    <row r="41" spans="1:5" ht="12.75">
      <c r="A41" s="16"/>
      <c r="B41" s="165" t="s">
        <v>189</v>
      </c>
      <c r="C41" s="334">
        <v>0.005</v>
      </c>
      <c r="D41" s="334">
        <v>0.007</v>
      </c>
      <c r="E41" s="335">
        <v>0.009</v>
      </c>
    </row>
    <row r="42" spans="1:5" ht="12.75">
      <c r="A42" s="16"/>
      <c r="B42" s="17" t="s">
        <v>222</v>
      </c>
      <c r="C42" s="11">
        <f>C41*'Revenue - Website'!C22</f>
        <v>4877.19298245614</v>
      </c>
      <c r="D42" s="11">
        <f>D41*'Revenue - Website'!D22</f>
        <v>13656.140350877193</v>
      </c>
      <c r="E42" s="166">
        <f>E41*'Revenue - Website'!E22</f>
        <v>26336.842105263153</v>
      </c>
    </row>
    <row r="43" spans="1:5" ht="12.75">
      <c r="A43" s="16"/>
      <c r="B43" s="17"/>
      <c r="C43" s="17"/>
      <c r="D43" s="17"/>
      <c r="E43" s="18"/>
    </row>
    <row r="44" spans="1:5" ht="12.75">
      <c r="A44" s="16"/>
      <c r="B44" s="17" t="s">
        <v>223</v>
      </c>
      <c r="C44" s="332">
        <v>4</v>
      </c>
      <c r="D44" s="332">
        <v>4</v>
      </c>
      <c r="E44" s="333">
        <v>4</v>
      </c>
    </row>
    <row r="45" spans="1:6" ht="12.75">
      <c r="A45" s="16"/>
      <c r="B45" s="17" t="s">
        <v>224</v>
      </c>
      <c r="C45" s="74">
        <v>0.07</v>
      </c>
      <c r="D45" s="74">
        <v>0.07</v>
      </c>
      <c r="E45" s="75">
        <v>0.07</v>
      </c>
      <c r="F45" s="25" t="s">
        <v>225</v>
      </c>
    </row>
    <row r="46" spans="1:6" ht="12.75">
      <c r="A46" s="16"/>
      <c r="B46" s="17" t="s">
        <v>226</v>
      </c>
      <c r="C46" s="68">
        <v>0.25</v>
      </c>
      <c r="D46" s="68">
        <v>0.25</v>
      </c>
      <c r="E46" s="341">
        <v>0.25</v>
      </c>
      <c r="F46" s="167"/>
    </row>
    <row r="47" spans="1:5" ht="12.75">
      <c r="A47" s="16"/>
      <c r="B47" s="17"/>
      <c r="C47" s="12"/>
      <c r="D47" s="12"/>
      <c r="E47" s="168"/>
    </row>
    <row r="48" spans="1:5" ht="13.5" thickBot="1">
      <c r="A48" s="19"/>
      <c r="B48" s="20"/>
      <c r="C48" s="20"/>
      <c r="D48" s="20"/>
      <c r="E48" s="21"/>
    </row>
    <row r="50" spans="3:5" ht="12.75">
      <c r="C50" s="169" t="s">
        <v>319</v>
      </c>
      <c r="D50" s="169" t="s">
        <v>320</v>
      </c>
      <c r="E50" s="169" t="s">
        <v>321</v>
      </c>
    </row>
    <row r="52" spans="1:5" ht="12.75">
      <c r="A52" s="25" t="s">
        <v>274</v>
      </c>
      <c r="C52" s="23">
        <f>C42*C44*C45*C46*52</f>
        <v>17752.98245614035</v>
      </c>
      <c r="D52" s="23">
        <f>D42*D44*D45*D46*52</f>
        <v>49708.35087719299</v>
      </c>
      <c r="E52" s="23">
        <f>E42*E44*E45*E46*52</f>
        <v>95866.10526315788</v>
      </c>
    </row>
    <row r="56" ht="12.75">
      <c r="A56" s="99" t="s">
        <v>227</v>
      </c>
    </row>
    <row r="57" spans="1:2" ht="12.75">
      <c r="A57" s="99"/>
      <c r="B57" s="25" t="s">
        <v>105</v>
      </c>
    </row>
    <row r="58" spans="1:2" ht="12.75">
      <c r="A58" s="99"/>
      <c r="B58" s="164" t="s">
        <v>106</v>
      </c>
    </row>
    <row r="59" ht="13.5" thickBot="1"/>
    <row r="60" spans="1:8" ht="12.75">
      <c r="A60" s="70" t="s">
        <v>197</v>
      </c>
      <c r="B60" s="71"/>
      <c r="C60" s="71"/>
      <c r="D60" s="71"/>
      <c r="E60" s="331"/>
      <c r="H60" s="164"/>
    </row>
    <row r="61" spans="1:5" ht="12.75">
      <c r="A61" s="16"/>
      <c r="B61" s="48"/>
      <c r="C61" s="55" t="s">
        <v>319</v>
      </c>
      <c r="D61" s="55" t="s">
        <v>320</v>
      </c>
      <c r="E61" s="130" t="s">
        <v>321</v>
      </c>
    </row>
    <row r="62" spans="1:5" ht="12.75">
      <c r="A62" s="16"/>
      <c r="B62" s="48" t="s">
        <v>107</v>
      </c>
      <c r="C62" s="332">
        <v>4</v>
      </c>
      <c r="D62" s="332">
        <v>4</v>
      </c>
      <c r="E62" s="333">
        <v>4</v>
      </c>
    </row>
    <row r="63" spans="1:8" ht="12.75">
      <c r="A63" s="16"/>
      <c r="B63" s="48" t="s">
        <v>108</v>
      </c>
      <c r="C63" s="86">
        <v>50000</v>
      </c>
      <c r="D63" s="86">
        <v>50000</v>
      </c>
      <c r="E63" s="87">
        <v>50000</v>
      </c>
      <c r="H63" s="164"/>
    </row>
    <row r="64" spans="1:8" ht="12.75">
      <c r="A64" s="16"/>
      <c r="B64" s="48"/>
      <c r="C64" s="55"/>
      <c r="D64" s="55"/>
      <c r="E64" s="130"/>
      <c r="H64" s="164"/>
    </row>
    <row r="65" spans="1:8" ht="12.75">
      <c r="A65" s="16"/>
      <c r="B65" s="17" t="s">
        <v>109</v>
      </c>
      <c r="C65" s="86">
        <v>52</v>
      </c>
      <c r="D65" s="86">
        <v>52</v>
      </c>
      <c r="E65" s="87">
        <v>52</v>
      </c>
      <c r="H65" s="164"/>
    </row>
    <row r="66" spans="1:8" ht="12.75">
      <c r="A66" s="16"/>
      <c r="B66" s="17" t="s">
        <v>110</v>
      </c>
      <c r="C66" s="68">
        <v>0.4</v>
      </c>
      <c r="D66" s="68">
        <v>0.4</v>
      </c>
      <c r="E66" s="341">
        <v>0.4</v>
      </c>
      <c r="F66" s="170"/>
      <c r="H66" s="164"/>
    </row>
    <row r="67" spans="1:6" ht="12.75">
      <c r="A67" s="16"/>
      <c r="B67" s="17" t="s">
        <v>111</v>
      </c>
      <c r="C67" s="84">
        <v>5000</v>
      </c>
      <c r="D67" s="84">
        <v>5000</v>
      </c>
      <c r="E67" s="85">
        <v>5000</v>
      </c>
      <c r="F67" s="167" t="s">
        <v>11</v>
      </c>
    </row>
    <row r="68" spans="1:5" ht="12.75">
      <c r="A68" s="16"/>
      <c r="B68" s="17"/>
      <c r="C68" s="17"/>
      <c r="D68" s="17"/>
      <c r="E68" s="18"/>
    </row>
    <row r="69" spans="1:5" ht="13.5" thickBot="1">
      <c r="A69" s="19"/>
      <c r="B69" s="20"/>
      <c r="C69" s="20"/>
      <c r="D69" s="20"/>
      <c r="E69" s="21"/>
    </row>
    <row r="71" spans="3:5" ht="12.75">
      <c r="C71" s="169" t="s">
        <v>319</v>
      </c>
      <c r="D71" s="169" t="s">
        <v>320</v>
      </c>
      <c r="E71" s="169" t="s">
        <v>321</v>
      </c>
    </row>
    <row r="72" ht="12.75">
      <c r="A72" s="99"/>
    </row>
    <row r="73" spans="1:43" ht="12.75">
      <c r="A73" s="25" t="s">
        <v>112</v>
      </c>
      <c r="C73" s="23">
        <f>C62*C65*C66*C67</f>
        <v>416000</v>
      </c>
      <c r="D73" s="23">
        <f>D62*D65*D66*D67</f>
        <v>416000</v>
      </c>
      <c r="E73" s="23">
        <f>E62*E65*E66*E67</f>
        <v>416000</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row>
    <row r="74" spans="1:3" ht="12.75">
      <c r="A74" s="99"/>
      <c r="C74" s="136"/>
    </row>
    <row r="77" ht="12.75">
      <c r="A77" s="99" t="s">
        <v>113</v>
      </c>
    </row>
    <row r="78" spans="1:2" ht="12.75">
      <c r="A78" s="171"/>
      <c r="B78" s="25" t="s">
        <v>12</v>
      </c>
    </row>
    <row r="79" spans="1:2" ht="12.75">
      <c r="A79" s="171"/>
      <c r="B79" s="164" t="s">
        <v>13</v>
      </c>
    </row>
    <row r="80" spans="1:2" ht="12.75">
      <c r="A80" s="171"/>
      <c r="B80" s="164" t="s">
        <v>14</v>
      </c>
    </row>
    <row r="81" ht="13.5" thickBot="1">
      <c r="A81" s="171"/>
    </row>
    <row r="82" spans="1:6" ht="12.75">
      <c r="A82" s="70" t="s">
        <v>197</v>
      </c>
      <c r="B82" s="71"/>
      <c r="C82" s="71"/>
      <c r="D82" s="71"/>
      <c r="E82" s="331"/>
      <c r="F82" s="167"/>
    </row>
    <row r="83" spans="1:5" ht="12.75">
      <c r="A83" s="16"/>
      <c r="B83" s="48"/>
      <c r="C83" s="55" t="s">
        <v>319</v>
      </c>
      <c r="D83" s="55" t="s">
        <v>320</v>
      </c>
      <c r="E83" s="130" t="s">
        <v>321</v>
      </c>
    </row>
    <row r="84" spans="1:5" ht="12.75">
      <c r="A84" s="16"/>
      <c r="B84" s="48" t="s">
        <v>15</v>
      </c>
      <c r="C84" s="11">
        <f>'Revenue - Website'!C16</f>
        <v>5000000</v>
      </c>
      <c r="D84" s="11">
        <f>'Revenue - Website'!D16</f>
        <v>5000000</v>
      </c>
      <c r="E84" s="166">
        <f>'Revenue - Website'!E16</f>
        <v>5000000</v>
      </c>
    </row>
    <row r="85" spans="1:6" ht="12.75">
      <c r="A85" s="16"/>
      <c r="B85" s="26" t="s">
        <v>16</v>
      </c>
      <c r="C85" s="76">
        <v>0.01</v>
      </c>
      <c r="D85" s="76">
        <v>0.01</v>
      </c>
      <c r="E85" s="69">
        <v>0.01</v>
      </c>
      <c r="F85" s="172"/>
    </row>
    <row r="86" spans="1:6" ht="12.75">
      <c r="A86" s="16"/>
      <c r="B86" s="26" t="s">
        <v>17</v>
      </c>
      <c r="C86" s="173">
        <f>C84*C85</f>
        <v>50000</v>
      </c>
      <c r="D86" s="173">
        <f>D84*D85</f>
        <v>50000</v>
      </c>
      <c r="E86" s="174">
        <f>E84*E85</f>
        <v>50000</v>
      </c>
      <c r="F86" s="172"/>
    </row>
    <row r="87" spans="1:6" ht="12.75">
      <c r="A87" s="16"/>
      <c r="B87" s="48" t="s">
        <v>18</v>
      </c>
      <c r="C87" s="68">
        <v>0.06</v>
      </c>
      <c r="D87" s="68">
        <v>0.06</v>
      </c>
      <c r="E87" s="341">
        <v>0.06</v>
      </c>
      <c r="F87" s="172"/>
    </row>
    <row r="88" spans="1:6" ht="12.75">
      <c r="A88" s="16"/>
      <c r="B88" s="48" t="s">
        <v>19</v>
      </c>
      <c r="C88" s="173">
        <f>C86*C87</f>
        <v>3000</v>
      </c>
      <c r="D88" s="173">
        <f>D86*D87</f>
        <v>3000</v>
      </c>
      <c r="E88" s="174">
        <f>E86*E87</f>
        <v>3000</v>
      </c>
      <c r="F88" s="172"/>
    </row>
    <row r="89" spans="1:6" ht="12.75">
      <c r="A89" s="16"/>
      <c r="B89" s="26"/>
      <c r="C89" s="23"/>
      <c r="D89" s="23"/>
      <c r="E89" s="112"/>
      <c r="F89" s="172"/>
    </row>
    <row r="90" spans="1:5" ht="12.75">
      <c r="A90" s="16"/>
      <c r="B90" s="165" t="s">
        <v>20</v>
      </c>
      <c r="C90" s="86">
        <v>3</v>
      </c>
      <c r="D90" s="86">
        <v>5</v>
      </c>
      <c r="E90" s="87">
        <v>6</v>
      </c>
    </row>
    <row r="91" spans="1:5" ht="12.75">
      <c r="A91" s="16"/>
      <c r="B91" s="165" t="s">
        <v>21</v>
      </c>
      <c r="C91" s="86">
        <v>50</v>
      </c>
      <c r="D91" s="86">
        <v>50</v>
      </c>
      <c r="E91" s="87">
        <v>50</v>
      </c>
    </row>
    <row r="92" spans="1:5" ht="12.75">
      <c r="A92" s="16"/>
      <c r="B92" s="26"/>
      <c r="C92" s="23"/>
      <c r="D92" s="23"/>
      <c r="E92" s="112"/>
    </row>
    <row r="93" spans="1:5" ht="12.75">
      <c r="A93" s="16"/>
      <c r="B93" s="48" t="s">
        <v>22</v>
      </c>
      <c r="C93" s="84">
        <v>10</v>
      </c>
      <c r="D93" s="84">
        <v>10</v>
      </c>
      <c r="E93" s="85">
        <v>10</v>
      </c>
    </row>
    <row r="94" spans="1:5" ht="12.75">
      <c r="A94" s="16"/>
      <c r="B94" s="26"/>
      <c r="C94" s="11"/>
      <c r="D94" s="11"/>
      <c r="E94" s="166"/>
    </row>
    <row r="95" spans="1:5" ht="12.75">
      <c r="A95" s="16"/>
      <c r="B95" s="48" t="s">
        <v>23</v>
      </c>
      <c r="C95" s="84">
        <v>500</v>
      </c>
      <c r="D95" s="84">
        <v>500</v>
      </c>
      <c r="E95" s="85">
        <v>500</v>
      </c>
    </row>
    <row r="96" spans="1:5" ht="12.75">
      <c r="A96" s="16"/>
      <c r="B96" s="48"/>
      <c r="C96" s="17"/>
      <c r="D96" s="17"/>
      <c r="E96" s="18"/>
    </row>
    <row r="97" spans="1:5" ht="13.5" thickBot="1">
      <c r="A97" s="19"/>
      <c r="B97" s="20"/>
      <c r="C97" s="20"/>
      <c r="D97" s="20"/>
      <c r="E97" s="21"/>
    </row>
    <row r="98" ht="12.75">
      <c r="A98" s="171"/>
    </row>
    <row r="99" spans="3:5" ht="12.75">
      <c r="C99" s="169" t="s">
        <v>319</v>
      </c>
      <c r="D99" s="169" t="s">
        <v>320</v>
      </c>
      <c r="E99" s="169" t="s">
        <v>321</v>
      </c>
    </row>
    <row r="101" spans="1:43" ht="12.75">
      <c r="A101" s="25" t="s">
        <v>276</v>
      </c>
      <c r="C101" s="23">
        <f>C102+C103</f>
        <v>165000</v>
      </c>
      <c r="D101" s="23">
        <f>D102+D103</f>
        <v>275000</v>
      </c>
      <c r="E101" s="23">
        <f>E102+E103</f>
        <v>330000</v>
      </c>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row>
    <row r="102" spans="2:43" ht="12.75">
      <c r="B102" s="25" t="s">
        <v>24</v>
      </c>
      <c r="C102" s="23">
        <f>(((C84*C85*C87)*C90)*C93)</f>
        <v>90000</v>
      </c>
      <c r="D102" s="23">
        <f>(((D84*D85*D87)*D90)*D93)</f>
        <v>150000</v>
      </c>
      <c r="E102" s="23">
        <f>(((E84*E85*E87)*E90)*E93)</f>
        <v>180000</v>
      </c>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row>
    <row r="103" spans="2:43" ht="12.75">
      <c r="B103" s="25" t="s">
        <v>25</v>
      </c>
      <c r="C103" s="23">
        <f>(C90*C91)*C95</f>
        <v>75000</v>
      </c>
      <c r="D103" s="23">
        <f>(D90*D91)*D95</f>
        <v>125000</v>
      </c>
      <c r="E103" s="23">
        <f>(E90*E91)*E95</f>
        <v>150000</v>
      </c>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row>
    <row r="106" spans="3:43" ht="12.75">
      <c r="C106" s="172"/>
      <c r="D106" s="172"/>
      <c r="E106" s="172"/>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row>
    <row r="107" ht="12.75">
      <c r="A107" s="99" t="s">
        <v>26</v>
      </c>
    </row>
    <row r="108" spans="1:2" ht="12.75">
      <c r="A108" s="99"/>
      <c r="B108" s="25" t="s">
        <v>27</v>
      </c>
    </row>
    <row r="109" spans="1:2" ht="12.75">
      <c r="A109" s="99"/>
      <c r="B109" s="164" t="s">
        <v>28</v>
      </c>
    </row>
    <row r="110" spans="1:2" ht="12.75">
      <c r="A110" s="99"/>
      <c r="B110" s="164" t="s">
        <v>29</v>
      </c>
    </row>
    <row r="111" ht="13.5" thickBot="1"/>
    <row r="112" spans="1:5" ht="12.75">
      <c r="A112" s="70" t="s">
        <v>197</v>
      </c>
      <c r="B112" s="71"/>
      <c r="C112" s="71"/>
      <c r="D112" s="71"/>
      <c r="E112" s="331"/>
    </row>
    <row r="113" spans="1:5" ht="12.75">
      <c r="A113" s="16"/>
      <c r="B113" s="48"/>
      <c r="C113" s="55" t="s">
        <v>319</v>
      </c>
      <c r="D113" s="55" t="s">
        <v>320</v>
      </c>
      <c r="E113" s="130" t="s">
        <v>321</v>
      </c>
    </row>
    <row r="114" spans="1:5" ht="12.75">
      <c r="A114" s="16"/>
      <c r="B114" s="48"/>
      <c r="C114" s="55"/>
      <c r="D114" s="55"/>
      <c r="E114" s="130"/>
    </row>
    <row r="115" spans="1:5" ht="12.75">
      <c r="A115" s="16"/>
      <c r="B115" s="17" t="s">
        <v>188</v>
      </c>
      <c r="C115" s="173">
        <f>'Revenue - B-to-B'!C30</f>
        <v>300000</v>
      </c>
      <c r="D115" s="173">
        <f>'Revenue - B-to-B'!D30</f>
        <v>300000</v>
      </c>
      <c r="E115" s="174">
        <f>'Revenue - B-to-B'!E30</f>
        <v>300000</v>
      </c>
    </row>
    <row r="116" spans="1:5" ht="12.75">
      <c r="A116" s="16"/>
      <c r="B116" s="17" t="s">
        <v>30</v>
      </c>
      <c r="C116" s="334">
        <v>0.001</v>
      </c>
      <c r="D116" s="334">
        <v>0.001</v>
      </c>
      <c r="E116" s="335">
        <v>0.001</v>
      </c>
    </row>
    <row r="117" spans="1:6" ht="12.75">
      <c r="A117" s="16"/>
      <c r="B117" s="17" t="s">
        <v>31</v>
      </c>
      <c r="C117" s="82">
        <v>0.0003</v>
      </c>
      <c r="D117" s="82">
        <v>0.0003</v>
      </c>
      <c r="E117" s="83">
        <v>0.0003</v>
      </c>
      <c r="F117" s="172"/>
    </row>
    <row r="118" spans="1:5" ht="12.75">
      <c r="A118" s="16"/>
      <c r="B118" s="17"/>
      <c r="C118" s="17"/>
      <c r="D118" s="17"/>
      <c r="E118" s="18"/>
    </row>
    <row r="119" spans="1:5" ht="12.75">
      <c r="A119" s="16"/>
      <c r="B119" s="17" t="s">
        <v>32</v>
      </c>
      <c r="C119" s="84">
        <v>50</v>
      </c>
      <c r="D119" s="84">
        <v>50</v>
      </c>
      <c r="E119" s="85">
        <v>50</v>
      </c>
    </row>
    <row r="120" spans="1:5" ht="12.75">
      <c r="A120" s="16"/>
      <c r="B120" s="17" t="s">
        <v>33</v>
      </c>
      <c r="C120" s="86">
        <v>2</v>
      </c>
      <c r="D120" s="86">
        <v>2</v>
      </c>
      <c r="E120" s="87">
        <v>2</v>
      </c>
    </row>
    <row r="121" spans="1:5" ht="12.75">
      <c r="A121" s="16"/>
      <c r="B121" s="17"/>
      <c r="C121" s="23"/>
      <c r="D121" s="23"/>
      <c r="E121" s="112"/>
    </row>
    <row r="122" spans="1:5" ht="12.75">
      <c r="A122" s="16"/>
      <c r="B122" s="17" t="s">
        <v>155</v>
      </c>
      <c r="C122" s="84">
        <v>500</v>
      </c>
      <c r="D122" s="84">
        <v>500</v>
      </c>
      <c r="E122" s="85">
        <v>500</v>
      </c>
    </row>
    <row r="123" spans="1:5" ht="12.75">
      <c r="A123" s="16"/>
      <c r="B123" s="17"/>
      <c r="C123" s="17"/>
      <c r="D123" s="11"/>
      <c r="E123" s="166"/>
    </row>
    <row r="124" spans="1:5" ht="13.5" thickBot="1">
      <c r="A124" s="19"/>
      <c r="B124" s="20"/>
      <c r="C124" s="20"/>
      <c r="D124" s="20"/>
      <c r="E124" s="21"/>
    </row>
    <row r="126" spans="3:5" ht="12.75">
      <c r="C126" s="169" t="s">
        <v>319</v>
      </c>
      <c r="D126" s="169" t="s">
        <v>320</v>
      </c>
      <c r="E126" s="169" t="s">
        <v>321</v>
      </c>
    </row>
    <row r="128" spans="1:43" ht="12.75">
      <c r="A128" s="25" t="s">
        <v>277</v>
      </c>
      <c r="C128" s="23">
        <f>C129+C130</f>
        <v>75000</v>
      </c>
      <c r="D128" s="23">
        <f>D129+D130</f>
        <v>75000</v>
      </c>
      <c r="E128" s="23">
        <f>E129+E130</f>
        <v>75000</v>
      </c>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row>
    <row r="129" spans="2:43" ht="12.75">
      <c r="B129" s="25" t="s">
        <v>156</v>
      </c>
      <c r="C129" s="23">
        <f>(C115*C116*C119*C120)</f>
        <v>30000</v>
      </c>
      <c r="D129" s="23">
        <f>(D115*D116*D119*D120)</f>
        <v>30000</v>
      </c>
      <c r="E129" s="23">
        <f>(E115*E116*E119*E120)</f>
        <v>30000</v>
      </c>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row>
    <row r="130" spans="2:43" ht="12.75">
      <c r="B130" s="25" t="s">
        <v>157</v>
      </c>
      <c r="C130" s="23">
        <f>C115*C117*C122</f>
        <v>44999.99999999999</v>
      </c>
      <c r="D130" s="23">
        <f>D115*D117*D122</f>
        <v>44999.99999999999</v>
      </c>
      <c r="E130" s="23">
        <f>E115*E117*E122</f>
        <v>44999.99999999999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row>
    <row r="134" ht="12.75">
      <c r="A134" s="99" t="s">
        <v>158</v>
      </c>
    </row>
    <row r="135" spans="1:2" ht="12.75">
      <c r="A135" s="99"/>
      <c r="B135" s="164" t="s">
        <v>159</v>
      </c>
    </row>
    <row r="136" spans="1:2" ht="12.75">
      <c r="A136" s="99"/>
      <c r="B136" s="164" t="s">
        <v>160</v>
      </c>
    </row>
    <row r="137" ht="13.5" thickBot="1"/>
    <row r="138" spans="1:5" ht="12.75">
      <c r="A138" s="70" t="s">
        <v>197</v>
      </c>
      <c r="B138" s="71"/>
      <c r="C138" s="71"/>
      <c r="D138" s="71"/>
      <c r="E138" s="331"/>
    </row>
    <row r="139" spans="1:5" ht="12.75">
      <c r="A139" s="16"/>
      <c r="B139" s="48"/>
      <c r="C139" s="55" t="s">
        <v>319</v>
      </c>
      <c r="D139" s="55" t="s">
        <v>320</v>
      </c>
      <c r="E139" s="130" t="s">
        <v>321</v>
      </c>
    </row>
    <row r="140" spans="1:5" ht="12.75">
      <c r="A140" s="16"/>
      <c r="B140" s="48"/>
      <c r="C140" s="55"/>
      <c r="D140" s="55"/>
      <c r="E140" s="130"/>
    </row>
    <row r="141" spans="1:5" ht="12.75">
      <c r="A141" s="16"/>
      <c r="B141" s="48" t="s">
        <v>161</v>
      </c>
      <c r="C141" s="86">
        <v>36</v>
      </c>
      <c r="D141" s="86">
        <v>42</v>
      </c>
      <c r="E141" s="87">
        <v>52</v>
      </c>
    </row>
    <row r="142" spans="1:6" ht="12.75">
      <c r="A142" s="16"/>
      <c r="B142" s="17" t="s">
        <v>162</v>
      </c>
      <c r="C142" s="84">
        <v>700</v>
      </c>
      <c r="D142" s="84">
        <v>700</v>
      </c>
      <c r="E142" s="85">
        <v>700</v>
      </c>
      <c r="F142" s="25" t="s">
        <v>163</v>
      </c>
    </row>
    <row r="143" spans="1:5" ht="12.75">
      <c r="A143" s="16"/>
      <c r="B143" s="17"/>
      <c r="C143" s="17"/>
      <c r="D143" s="17"/>
      <c r="E143" s="18"/>
    </row>
    <row r="144" spans="1:5" ht="13.5" thickBot="1">
      <c r="A144" s="19"/>
      <c r="B144" s="20"/>
      <c r="C144" s="20"/>
      <c r="D144" s="20"/>
      <c r="E144" s="21"/>
    </row>
    <row r="146" spans="3:5" ht="12.75">
      <c r="C146" s="169" t="s">
        <v>319</v>
      </c>
      <c r="D146" s="169" t="s">
        <v>320</v>
      </c>
      <c r="E146" s="169" t="s">
        <v>321</v>
      </c>
    </row>
    <row r="148" spans="1:43" ht="12.75">
      <c r="A148" s="25" t="s">
        <v>278</v>
      </c>
      <c r="C148" s="23">
        <f>C141*C142</f>
        <v>25200</v>
      </c>
      <c r="D148" s="23">
        <f>D141*D142</f>
        <v>29400</v>
      </c>
      <c r="E148" s="23">
        <f>E141*E142</f>
        <v>36400</v>
      </c>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row>
    <row r="152" ht="12.75">
      <c r="A152" s="99" t="s">
        <v>164</v>
      </c>
    </row>
    <row r="153" spans="1:2" ht="12.75">
      <c r="A153" s="99"/>
      <c r="B153" s="164" t="s">
        <v>165</v>
      </c>
    </row>
    <row r="154" spans="1:2" ht="12.75">
      <c r="A154" s="99"/>
      <c r="B154" s="164" t="s">
        <v>166</v>
      </c>
    </row>
    <row r="155" ht="13.5" thickBot="1"/>
    <row r="156" spans="1:5" ht="12.75">
      <c r="A156" s="70" t="s">
        <v>197</v>
      </c>
      <c r="B156" s="71"/>
      <c r="C156" s="71"/>
      <c r="D156" s="71"/>
      <c r="E156" s="331"/>
    </row>
    <row r="157" spans="1:5" ht="12.75">
      <c r="A157" s="16"/>
      <c r="B157" s="48"/>
      <c r="C157" s="55" t="s">
        <v>319</v>
      </c>
      <c r="D157" s="55" t="s">
        <v>320</v>
      </c>
      <c r="E157" s="130" t="s">
        <v>321</v>
      </c>
    </row>
    <row r="158" spans="1:5" ht="12.75">
      <c r="A158" s="16"/>
      <c r="B158" s="165" t="s">
        <v>167</v>
      </c>
      <c r="C158" s="82">
        <v>0.001</v>
      </c>
      <c r="D158" s="82">
        <v>0.001</v>
      </c>
      <c r="E158" s="83">
        <v>0.001</v>
      </c>
    </row>
    <row r="159" spans="1:5" ht="12.75">
      <c r="A159" s="16"/>
      <c r="B159" s="17" t="s">
        <v>168</v>
      </c>
      <c r="C159" s="11">
        <f>C158*'Revenue - Website'!C22</f>
        <v>975.438596491228</v>
      </c>
      <c r="D159" s="11">
        <f>D158*'Revenue - Website'!D22</f>
        <v>1950.877192982456</v>
      </c>
      <c r="E159" s="166">
        <f>E158*'Revenue - Website'!E22</f>
        <v>2926.315789473684</v>
      </c>
    </row>
    <row r="160" spans="1:5" ht="12.75">
      <c r="A160" s="16"/>
      <c r="B160" s="17"/>
      <c r="C160" s="11"/>
      <c r="D160" s="11"/>
      <c r="E160" s="166"/>
    </row>
    <row r="161" spans="1:6" ht="12.75">
      <c r="A161" s="16"/>
      <c r="B161" s="17" t="s">
        <v>169</v>
      </c>
      <c r="C161" s="74">
        <v>0.25</v>
      </c>
      <c r="D161" s="74">
        <v>0.25</v>
      </c>
      <c r="E161" s="75">
        <v>0.25</v>
      </c>
      <c r="F161" s="175"/>
    </row>
    <row r="162" spans="1:5" ht="12.75">
      <c r="A162" s="16"/>
      <c r="B162" s="17"/>
      <c r="C162" s="11"/>
      <c r="D162" s="11"/>
      <c r="E162" s="166"/>
    </row>
    <row r="163" spans="1:5" ht="12.75">
      <c r="A163" s="16"/>
      <c r="B163" s="17" t="s">
        <v>188</v>
      </c>
      <c r="C163" s="173">
        <f>'Revenue - B-to-B'!C30</f>
        <v>300000</v>
      </c>
      <c r="D163" s="173">
        <f>'Revenue - B-to-B'!D30</f>
        <v>300000</v>
      </c>
      <c r="E163" s="166">
        <f>'Revenue - B-to-B'!E30</f>
        <v>300000</v>
      </c>
    </row>
    <row r="164" spans="1:5" ht="12.75">
      <c r="A164" s="16"/>
      <c r="B164" s="17" t="s">
        <v>170</v>
      </c>
      <c r="C164" s="82">
        <v>0.0001</v>
      </c>
      <c r="D164" s="82">
        <v>0.0002</v>
      </c>
      <c r="E164" s="83">
        <v>0.0005</v>
      </c>
    </row>
    <row r="165" spans="1:5" ht="12.75">
      <c r="A165" s="16"/>
      <c r="B165" s="17" t="s">
        <v>171</v>
      </c>
      <c r="C165" s="11">
        <f>C163*C164</f>
        <v>30</v>
      </c>
      <c r="D165" s="11">
        <f>D163*D164</f>
        <v>60</v>
      </c>
      <c r="E165" s="166">
        <f>E163*E164</f>
        <v>150</v>
      </c>
    </row>
    <row r="166" spans="1:5" ht="12.75">
      <c r="A166" s="16"/>
      <c r="B166" s="17"/>
      <c r="C166" s="17"/>
      <c r="D166" s="17"/>
      <c r="E166" s="18"/>
    </row>
    <row r="167" spans="1:5" ht="13.5" thickBot="1">
      <c r="A167" s="19"/>
      <c r="B167" s="20"/>
      <c r="C167" s="20"/>
      <c r="D167" s="20"/>
      <c r="E167" s="21"/>
    </row>
    <row r="169" spans="3:5" ht="12.75">
      <c r="C169" s="169" t="s">
        <v>319</v>
      </c>
      <c r="D169" s="169" t="s">
        <v>320</v>
      </c>
      <c r="E169" s="169" t="s">
        <v>321</v>
      </c>
    </row>
    <row r="171" spans="1:43" ht="12.75">
      <c r="A171" s="25" t="s">
        <v>279</v>
      </c>
      <c r="C171" s="23">
        <f>C159*C161*C165</f>
        <v>7315.78947368421</v>
      </c>
      <c r="D171" s="23">
        <f>D159*D161*D165</f>
        <v>29263.15789473684</v>
      </c>
      <c r="E171" s="23">
        <f>E159*E161*E165</f>
        <v>109736.84210526316</v>
      </c>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row>
    <row r="175" ht="12.75">
      <c r="A175" s="99" t="s">
        <v>172</v>
      </c>
    </row>
    <row r="176" spans="1:2" ht="12.75">
      <c r="A176" s="99"/>
      <c r="B176" s="25" t="s">
        <v>228</v>
      </c>
    </row>
    <row r="177" spans="1:2" ht="12.75">
      <c r="A177" s="99"/>
      <c r="B177" s="25" t="s">
        <v>232</v>
      </c>
    </row>
    <row r="178" spans="1:2" ht="12.75">
      <c r="A178" s="99"/>
      <c r="B178" s="164" t="s">
        <v>173</v>
      </c>
    </row>
    <row r="179" spans="1:2" ht="12.75">
      <c r="A179" s="99"/>
      <c r="B179" s="164" t="s">
        <v>174</v>
      </c>
    </row>
    <row r="180" spans="1:2" ht="12.75">
      <c r="A180" s="99"/>
      <c r="B180" s="164" t="s">
        <v>34</v>
      </c>
    </row>
    <row r="181" ht="13.5" thickBot="1"/>
    <row r="182" spans="1:5" ht="12.75">
      <c r="A182" s="70" t="s">
        <v>197</v>
      </c>
      <c r="B182" s="71"/>
      <c r="C182" s="71"/>
      <c r="D182" s="71"/>
      <c r="E182" s="331"/>
    </row>
    <row r="183" spans="1:5" ht="12.75">
      <c r="A183" s="16"/>
      <c r="B183" s="48"/>
      <c r="C183" s="55" t="s">
        <v>319</v>
      </c>
      <c r="D183" s="55" t="s">
        <v>320</v>
      </c>
      <c r="E183" s="130" t="s">
        <v>321</v>
      </c>
    </row>
    <row r="184" spans="1:5" ht="12.75">
      <c r="A184" s="16"/>
      <c r="B184" s="48" t="s">
        <v>116</v>
      </c>
      <c r="C184" s="173"/>
      <c r="D184" s="86">
        <v>2</v>
      </c>
      <c r="E184" s="87">
        <v>1</v>
      </c>
    </row>
    <row r="185" spans="1:5" ht="12.75">
      <c r="A185" s="16"/>
      <c r="B185" s="48" t="s">
        <v>117</v>
      </c>
      <c r="C185" s="173"/>
      <c r="D185" s="86"/>
      <c r="E185" s="87">
        <v>2</v>
      </c>
    </row>
    <row r="186" spans="1:5" ht="12.75">
      <c r="A186" s="16"/>
      <c r="B186" s="48" t="s">
        <v>118</v>
      </c>
      <c r="C186" s="173"/>
      <c r="D186" s="11">
        <f>D184+D185</f>
        <v>2</v>
      </c>
      <c r="E186" s="166">
        <f>E184+E185</f>
        <v>3</v>
      </c>
    </row>
    <row r="187" spans="1:8" ht="12.75">
      <c r="A187" s="16"/>
      <c r="B187" s="17" t="s">
        <v>119</v>
      </c>
      <c r="C187" s="173"/>
      <c r="D187" s="86">
        <v>300</v>
      </c>
      <c r="E187" s="87">
        <v>300</v>
      </c>
      <c r="H187" s="164"/>
    </row>
    <row r="188" spans="1:8" ht="12.75">
      <c r="A188" s="16"/>
      <c r="B188" s="17"/>
      <c r="C188" s="8"/>
      <c r="D188" s="17"/>
      <c r="E188" s="18"/>
      <c r="F188" s="170"/>
      <c r="H188" s="164"/>
    </row>
    <row r="189" spans="1:6" ht="12.75">
      <c r="A189" s="16"/>
      <c r="B189" s="165" t="s">
        <v>120</v>
      </c>
      <c r="C189" s="176"/>
      <c r="D189" s="82">
        <v>0.0005</v>
      </c>
      <c r="E189" s="83">
        <v>0.0005</v>
      </c>
      <c r="F189" s="170"/>
    </row>
    <row r="190" spans="1:5" ht="12.75">
      <c r="A190" s="16"/>
      <c r="B190" s="17" t="s">
        <v>121</v>
      </c>
      <c r="C190" s="173"/>
      <c r="D190" s="11">
        <f>D189*'Revenue - Website'!D22</f>
        <v>975.438596491228</v>
      </c>
      <c r="E190" s="166">
        <f>E189*'Revenue - Website'!E22</f>
        <v>1463.157894736842</v>
      </c>
    </row>
    <row r="191" spans="1:5" ht="12.75">
      <c r="A191" s="16"/>
      <c r="B191" s="17" t="s">
        <v>122</v>
      </c>
      <c r="C191" s="8"/>
      <c r="D191" s="76">
        <v>0.3</v>
      </c>
      <c r="E191" s="69">
        <v>0.3</v>
      </c>
    </row>
    <row r="192" spans="1:5" ht="12.75">
      <c r="A192" s="16"/>
      <c r="B192" s="17" t="s">
        <v>123</v>
      </c>
      <c r="C192" s="8"/>
      <c r="D192" s="76">
        <v>0.6</v>
      </c>
      <c r="E192" s="69">
        <v>0.6</v>
      </c>
    </row>
    <row r="193" spans="1:5" ht="12.75">
      <c r="A193" s="16"/>
      <c r="B193" s="17" t="s">
        <v>35</v>
      </c>
      <c r="C193" s="8"/>
      <c r="D193" s="76">
        <v>0.1</v>
      </c>
      <c r="E193" s="69">
        <v>0.1</v>
      </c>
    </row>
    <row r="194" spans="1:5" ht="12.75">
      <c r="A194" s="16"/>
      <c r="B194" s="17"/>
      <c r="C194" s="8"/>
      <c r="D194" s="17"/>
      <c r="E194" s="18"/>
    </row>
    <row r="195" spans="1:5" ht="12.75">
      <c r="A195" s="16"/>
      <c r="B195" s="17" t="s">
        <v>124</v>
      </c>
      <c r="C195" s="177"/>
      <c r="D195" s="74">
        <v>0.6</v>
      </c>
      <c r="E195" s="75">
        <v>0.6</v>
      </c>
    </row>
    <row r="196" spans="1:5" ht="12.75">
      <c r="A196" s="16"/>
      <c r="B196" s="17" t="s">
        <v>125</v>
      </c>
      <c r="C196" s="177"/>
      <c r="D196" s="74">
        <v>0.2</v>
      </c>
      <c r="E196" s="75">
        <v>0.2</v>
      </c>
    </row>
    <row r="197" spans="1:5" ht="12.75">
      <c r="A197" s="16"/>
      <c r="B197" s="17" t="s">
        <v>36</v>
      </c>
      <c r="C197" s="177"/>
      <c r="D197" s="74">
        <v>20</v>
      </c>
      <c r="E197" s="75">
        <v>20</v>
      </c>
    </row>
    <row r="198" spans="1:5" ht="12.75">
      <c r="A198" s="16"/>
      <c r="B198" s="17"/>
      <c r="C198" s="177"/>
      <c r="D198" s="12"/>
      <c r="E198" s="168"/>
    </row>
    <row r="199" spans="1:5" ht="13.5" thickBot="1">
      <c r="A199" s="19"/>
      <c r="B199" s="20"/>
      <c r="C199" s="20"/>
      <c r="D199" s="20"/>
      <c r="E199" s="21"/>
    </row>
    <row r="201" spans="3:5" ht="12.75">
      <c r="C201" s="169" t="s">
        <v>319</v>
      </c>
      <c r="D201" s="169" t="s">
        <v>320</v>
      </c>
      <c r="E201" s="169" t="s">
        <v>321</v>
      </c>
    </row>
    <row r="202" ht="12.75">
      <c r="H202" s="178"/>
    </row>
    <row r="203" spans="1:43" ht="12.75">
      <c r="A203" s="25" t="s">
        <v>280</v>
      </c>
      <c r="C203" s="23"/>
      <c r="D203" s="23">
        <f>(D190*D191*D186*D187*D195)+(D190*D192*D186*D187*D196)+(D190*D193*D197)</f>
        <v>177529.82456140348</v>
      </c>
      <c r="E203" s="23">
        <f>(E190*E191*E186*E187*E195)+(E190*E192*E186*E187*E196)+(E190*E193*E197)</f>
        <v>397978.94736842107</v>
      </c>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row>
    <row r="205" ht="12.75">
      <c r="H205" s="164"/>
    </row>
    <row r="206" ht="12.75">
      <c r="H206" s="164"/>
    </row>
    <row r="207" ht="12.75">
      <c r="A207" s="99" t="s">
        <v>37</v>
      </c>
    </row>
    <row r="208" spans="1:2" ht="12.75">
      <c r="A208" s="99"/>
      <c r="B208" s="25" t="s">
        <v>331</v>
      </c>
    </row>
    <row r="209" spans="1:2" ht="12.75">
      <c r="A209" s="99"/>
      <c r="B209" s="178" t="s">
        <v>38</v>
      </c>
    </row>
    <row r="210" ht="13.5" thickBot="1"/>
    <row r="211" spans="1:5" ht="12.75">
      <c r="A211" s="70" t="s">
        <v>197</v>
      </c>
      <c r="B211" s="71"/>
      <c r="C211" s="71"/>
      <c r="D211" s="71"/>
      <c r="E211" s="331"/>
    </row>
    <row r="212" spans="1:5" ht="12.75">
      <c r="A212" s="16"/>
      <c r="B212" s="48"/>
      <c r="C212" s="55" t="s">
        <v>319</v>
      </c>
      <c r="D212" s="55" t="s">
        <v>320</v>
      </c>
      <c r="E212" s="130" t="s">
        <v>321</v>
      </c>
    </row>
    <row r="213" spans="1:43" ht="12.75">
      <c r="A213" s="179">
        <v>0.05</v>
      </c>
      <c r="B213" s="17" t="s">
        <v>39</v>
      </c>
      <c r="C213" s="11"/>
      <c r="D213" s="84">
        <v>1450000000</v>
      </c>
      <c r="E213" s="85">
        <f>D213*(1+A213)</f>
        <v>1522500000</v>
      </c>
      <c r="F213" s="180" t="s">
        <v>40</v>
      </c>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row>
    <row r="214" spans="1:6" ht="12.75">
      <c r="A214" s="16"/>
      <c r="B214" s="17" t="s">
        <v>41</v>
      </c>
      <c r="C214" s="11"/>
      <c r="D214" s="177">
        <f>D213/300000000</f>
        <v>4.833333333333333</v>
      </c>
      <c r="E214" s="181">
        <f>E213/300000000</f>
        <v>5.075</v>
      </c>
      <c r="F214" s="182"/>
    </row>
    <row r="215" spans="1:5" ht="12.75">
      <c r="A215" s="16"/>
      <c r="B215" s="17"/>
      <c r="C215" s="11"/>
      <c r="D215" s="11"/>
      <c r="E215" s="166"/>
    </row>
    <row r="216" spans="1:5" ht="12.75">
      <c r="A216" s="16"/>
      <c r="B216" s="17" t="s">
        <v>77</v>
      </c>
      <c r="C216" s="11"/>
      <c r="D216" s="11">
        <f>'Revenue - Website'!D16</f>
        <v>5000000</v>
      </c>
      <c r="E216" s="166">
        <f>'Revenue - Website'!E16</f>
        <v>5000000</v>
      </c>
    </row>
    <row r="217" spans="1:5" ht="12.75">
      <c r="A217" s="16"/>
      <c r="B217" s="17" t="s">
        <v>78</v>
      </c>
      <c r="C217" s="11"/>
      <c r="D217" s="183">
        <f>D214*D216</f>
        <v>24166666.666666664</v>
      </c>
      <c r="E217" s="184">
        <f>E216*E214</f>
        <v>25375000</v>
      </c>
    </row>
    <row r="218" spans="1:5" ht="12.75">
      <c r="A218" s="16"/>
      <c r="B218" s="17" t="s">
        <v>79</v>
      </c>
      <c r="C218" s="11"/>
      <c r="D218" s="76">
        <v>0.02</v>
      </c>
      <c r="E218" s="69">
        <v>0.02</v>
      </c>
    </row>
    <row r="219" spans="1:5" ht="12.75">
      <c r="A219" s="16"/>
      <c r="B219" s="17" t="s">
        <v>80</v>
      </c>
      <c r="C219" s="11"/>
      <c r="D219" s="76">
        <v>0.07</v>
      </c>
      <c r="E219" s="69">
        <v>0.07</v>
      </c>
    </row>
    <row r="220" spans="1:6" ht="12.75">
      <c r="A220" s="16"/>
      <c r="B220" s="17"/>
      <c r="C220" s="17"/>
      <c r="D220" s="17"/>
      <c r="E220" s="18"/>
      <c r="F220" s="185"/>
    </row>
    <row r="221" spans="1:5" ht="13.5" thickBot="1">
      <c r="A221" s="19"/>
      <c r="B221" s="20"/>
      <c r="C221" s="20"/>
      <c r="D221" s="20"/>
      <c r="E221" s="21"/>
    </row>
    <row r="223" spans="3:5" ht="12.75">
      <c r="C223" s="169" t="s">
        <v>319</v>
      </c>
      <c r="D223" s="169" t="s">
        <v>320</v>
      </c>
      <c r="E223" s="169" t="s">
        <v>321</v>
      </c>
    </row>
    <row r="224" ht="12.75">
      <c r="A224" s="99"/>
    </row>
    <row r="225" spans="1:43" ht="12.75">
      <c r="A225" s="25" t="s">
        <v>281</v>
      </c>
      <c r="C225" s="23"/>
      <c r="D225" s="23">
        <f>D217*D218*D219</f>
        <v>33833.333333333336</v>
      </c>
      <c r="E225" s="23">
        <f>E217*E218*E219</f>
        <v>35525</v>
      </c>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row>
    <row r="229" ht="12.75">
      <c r="A229" s="99" t="s">
        <v>81</v>
      </c>
    </row>
    <row r="230" spans="1:2" ht="12.75">
      <c r="A230" s="99"/>
      <c r="B230" s="164" t="s">
        <v>403</v>
      </c>
    </row>
    <row r="231" spans="1:2" ht="12.75">
      <c r="A231" s="99"/>
      <c r="B231" s="164" t="s">
        <v>82</v>
      </c>
    </row>
    <row r="232" spans="1:2" ht="12.75">
      <c r="A232" s="99"/>
      <c r="B232" s="164" t="s">
        <v>83</v>
      </c>
    </row>
    <row r="233" ht="13.5" thickBot="1"/>
    <row r="234" spans="1:31" ht="12.75">
      <c r="A234" s="70" t="s">
        <v>197</v>
      </c>
      <c r="B234" s="71"/>
      <c r="C234" s="71"/>
      <c r="D234" s="71"/>
      <c r="E234" s="331"/>
      <c r="H234" s="53" t="s">
        <v>320</v>
      </c>
      <c r="I234" s="54"/>
      <c r="J234" s="54"/>
      <c r="K234" s="54"/>
      <c r="L234" s="54"/>
      <c r="M234" s="54"/>
      <c r="N234" s="54"/>
      <c r="O234" s="54"/>
      <c r="P234" s="54"/>
      <c r="Q234" s="54"/>
      <c r="R234" s="54"/>
      <c r="S234" s="39"/>
      <c r="T234" s="53" t="s">
        <v>321</v>
      </c>
      <c r="U234" s="54"/>
      <c r="V234" s="54"/>
      <c r="W234" s="54"/>
      <c r="X234" s="54"/>
      <c r="Y234" s="54"/>
      <c r="Z234" s="54"/>
      <c r="AA234" s="54"/>
      <c r="AB234" s="54"/>
      <c r="AC234" s="54"/>
      <c r="AD234" s="54"/>
      <c r="AE234" s="39"/>
    </row>
    <row r="235" spans="1:31" ht="12.75">
      <c r="A235" s="16"/>
      <c r="B235" s="48"/>
      <c r="C235" s="55" t="s">
        <v>319</v>
      </c>
      <c r="D235" s="55" t="s">
        <v>320</v>
      </c>
      <c r="E235" s="130" t="s">
        <v>321</v>
      </c>
      <c r="H235" s="40" t="s">
        <v>323</v>
      </c>
      <c r="I235" s="41" t="s">
        <v>324</v>
      </c>
      <c r="J235" s="41" t="s">
        <v>325</v>
      </c>
      <c r="K235" s="41" t="s">
        <v>326</v>
      </c>
      <c r="L235" s="41" t="s">
        <v>130</v>
      </c>
      <c r="M235" s="41" t="s">
        <v>131</v>
      </c>
      <c r="N235" s="41" t="s">
        <v>132</v>
      </c>
      <c r="O235" s="41" t="s">
        <v>133</v>
      </c>
      <c r="P235" s="41" t="s">
        <v>134</v>
      </c>
      <c r="Q235" s="41" t="s">
        <v>135</v>
      </c>
      <c r="R235" s="41" t="s">
        <v>136</v>
      </c>
      <c r="S235" s="41" t="s">
        <v>137</v>
      </c>
      <c r="T235" s="41" t="s">
        <v>323</v>
      </c>
      <c r="U235" s="41" t="s">
        <v>324</v>
      </c>
      <c r="V235" s="41" t="s">
        <v>325</v>
      </c>
      <c r="W235" s="41" t="s">
        <v>326</v>
      </c>
      <c r="X235" s="41" t="s">
        <v>130</v>
      </c>
      <c r="Y235" s="41" t="s">
        <v>131</v>
      </c>
      <c r="Z235" s="41" t="s">
        <v>132</v>
      </c>
      <c r="AA235" s="41" t="s">
        <v>133</v>
      </c>
      <c r="AB235" s="41" t="s">
        <v>134</v>
      </c>
      <c r="AC235" s="41" t="s">
        <v>135</v>
      </c>
      <c r="AD235" s="41" t="s">
        <v>136</v>
      </c>
      <c r="AE235" s="41" t="s">
        <v>137</v>
      </c>
    </row>
    <row r="236" spans="1:5" ht="12.75">
      <c r="A236" s="16"/>
      <c r="B236" s="48"/>
      <c r="C236" s="55"/>
      <c r="D236" s="55"/>
      <c r="E236" s="130"/>
    </row>
    <row r="237" spans="1:5" ht="12.75">
      <c r="A237" s="24" t="s">
        <v>84</v>
      </c>
      <c r="B237" s="48"/>
      <c r="C237" s="55"/>
      <c r="D237" s="55"/>
      <c r="E237" s="130"/>
    </row>
    <row r="238" spans="1:5" ht="12.75">
      <c r="A238" s="16"/>
      <c r="B238" s="48" t="s">
        <v>85</v>
      </c>
      <c r="C238" s="26"/>
      <c r="D238" s="86">
        <v>1</v>
      </c>
      <c r="E238" s="87">
        <v>2</v>
      </c>
    </row>
    <row r="239" spans="1:5" ht="12.75">
      <c r="A239" s="16"/>
      <c r="B239" s="48"/>
      <c r="C239" s="26"/>
      <c r="D239" s="55"/>
      <c r="E239" s="130"/>
    </row>
    <row r="240" spans="1:5" ht="12.75">
      <c r="A240" s="16"/>
      <c r="B240" s="48" t="s">
        <v>15</v>
      </c>
      <c r="C240" s="26"/>
      <c r="D240" s="43">
        <f>'Revenue - Website'!D16</f>
        <v>5000000</v>
      </c>
      <c r="E240" s="166">
        <f>'Revenue - Website'!E16</f>
        <v>5000000</v>
      </c>
    </row>
    <row r="241" spans="1:5" ht="12.75">
      <c r="A241" s="16"/>
      <c r="B241" s="48" t="s">
        <v>86</v>
      </c>
      <c r="C241" s="26"/>
      <c r="D241" s="76">
        <v>0.3</v>
      </c>
      <c r="E241" s="69">
        <v>0.3</v>
      </c>
    </row>
    <row r="242" spans="1:5" ht="12.75">
      <c r="A242" s="16"/>
      <c r="B242" s="48" t="s">
        <v>87</v>
      </c>
      <c r="C242" s="26"/>
      <c r="D242" s="76">
        <v>0.4</v>
      </c>
      <c r="E242" s="69">
        <v>0.55</v>
      </c>
    </row>
    <row r="243" spans="1:31" ht="12.75">
      <c r="A243" s="16"/>
      <c r="B243" s="48" t="s">
        <v>139</v>
      </c>
      <c r="C243" s="26"/>
      <c r="D243" s="165">
        <f>D240*D241*D242</f>
        <v>600000</v>
      </c>
      <c r="E243" s="186">
        <f>E240*E241*E242</f>
        <v>825000.0000000001</v>
      </c>
      <c r="G243" s="25" t="s">
        <v>88</v>
      </c>
      <c r="H243" s="30">
        <f>S243/12</f>
        <v>50000</v>
      </c>
      <c r="I243" s="30">
        <f aca="true" t="shared" si="34" ref="I243:R243">H243+($S$243/12)</f>
        <v>100000</v>
      </c>
      <c r="J243" s="30">
        <f t="shared" si="34"/>
        <v>150000</v>
      </c>
      <c r="K243" s="30">
        <f t="shared" si="34"/>
        <v>200000</v>
      </c>
      <c r="L243" s="30">
        <f t="shared" si="34"/>
        <v>250000</v>
      </c>
      <c r="M243" s="30">
        <f t="shared" si="34"/>
        <v>300000</v>
      </c>
      <c r="N243" s="30">
        <f t="shared" si="34"/>
        <v>350000</v>
      </c>
      <c r="O243" s="30">
        <f t="shared" si="34"/>
        <v>400000</v>
      </c>
      <c r="P243" s="30">
        <f t="shared" si="34"/>
        <v>450000</v>
      </c>
      <c r="Q243" s="30">
        <f t="shared" si="34"/>
        <v>500000</v>
      </c>
      <c r="R243" s="30">
        <f t="shared" si="34"/>
        <v>550000</v>
      </c>
      <c r="S243" s="30">
        <f>D243</f>
        <v>600000</v>
      </c>
      <c r="T243" s="30">
        <f aca="true" t="shared" si="35" ref="T243:AD243">S243+(($AE$243-$S$243)/12)</f>
        <v>618750</v>
      </c>
      <c r="U243" s="30">
        <f t="shared" si="35"/>
        <v>637500</v>
      </c>
      <c r="V243" s="30">
        <f t="shared" si="35"/>
        <v>656250</v>
      </c>
      <c r="W243" s="30">
        <f t="shared" si="35"/>
        <v>675000</v>
      </c>
      <c r="X243" s="30">
        <f t="shared" si="35"/>
        <v>693750</v>
      </c>
      <c r="Y243" s="30">
        <f t="shared" si="35"/>
        <v>712500</v>
      </c>
      <c r="Z243" s="30">
        <f t="shared" si="35"/>
        <v>731250</v>
      </c>
      <c r="AA243" s="30">
        <f t="shared" si="35"/>
        <v>750000</v>
      </c>
      <c r="AB243" s="30">
        <f t="shared" si="35"/>
        <v>768750</v>
      </c>
      <c r="AC243" s="30">
        <f t="shared" si="35"/>
        <v>787500</v>
      </c>
      <c r="AD243" s="30">
        <f t="shared" si="35"/>
        <v>806250</v>
      </c>
      <c r="AE243" s="30">
        <f>E243</f>
        <v>825000.0000000001</v>
      </c>
    </row>
    <row r="244" spans="1:31" ht="12.75">
      <c r="A244" s="16"/>
      <c r="B244" s="48" t="s">
        <v>150</v>
      </c>
      <c r="C244" s="26"/>
      <c r="D244" s="86">
        <v>4</v>
      </c>
      <c r="E244" s="87">
        <v>6</v>
      </c>
      <c r="G244" s="25" t="s">
        <v>89</v>
      </c>
      <c r="H244" s="30">
        <f aca="true" t="shared" si="36" ref="H244:S244">H243*$D$244</f>
        <v>200000</v>
      </c>
      <c r="I244" s="30">
        <f t="shared" si="36"/>
        <v>400000</v>
      </c>
      <c r="J244" s="30">
        <f t="shared" si="36"/>
        <v>600000</v>
      </c>
      <c r="K244" s="30">
        <f t="shared" si="36"/>
        <v>800000</v>
      </c>
      <c r="L244" s="30">
        <f t="shared" si="36"/>
        <v>1000000</v>
      </c>
      <c r="M244" s="30">
        <f t="shared" si="36"/>
        <v>1200000</v>
      </c>
      <c r="N244" s="30">
        <f t="shared" si="36"/>
        <v>1400000</v>
      </c>
      <c r="O244" s="30">
        <f t="shared" si="36"/>
        <v>1600000</v>
      </c>
      <c r="P244" s="30">
        <f t="shared" si="36"/>
        <v>1800000</v>
      </c>
      <c r="Q244" s="30">
        <f t="shared" si="36"/>
        <v>2000000</v>
      </c>
      <c r="R244" s="30">
        <f t="shared" si="36"/>
        <v>2200000</v>
      </c>
      <c r="S244" s="30">
        <f t="shared" si="36"/>
        <v>2400000</v>
      </c>
      <c r="T244" s="30">
        <f aca="true" t="shared" si="37" ref="T244:AE244">T243*$E$244</f>
        <v>3712500</v>
      </c>
      <c r="U244" s="30">
        <f t="shared" si="37"/>
        <v>3825000</v>
      </c>
      <c r="V244" s="30">
        <f t="shared" si="37"/>
        <v>3937500</v>
      </c>
      <c r="W244" s="30">
        <f t="shared" si="37"/>
        <v>4050000</v>
      </c>
      <c r="X244" s="30">
        <f t="shared" si="37"/>
        <v>4162500</v>
      </c>
      <c r="Y244" s="30">
        <f t="shared" si="37"/>
        <v>4275000</v>
      </c>
      <c r="Z244" s="30">
        <f t="shared" si="37"/>
        <v>4387500</v>
      </c>
      <c r="AA244" s="30">
        <f t="shared" si="37"/>
        <v>4500000</v>
      </c>
      <c r="AB244" s="30">
        <f t="shared" si="37"/>
        <v>4612500</v>
      </c>
      <c r="AC244" s="30">
        <f t="shared" si="37"/>
        <v>4725000</v>
      </c>
      <c r="AD244" s="30">
        <f t="shared" si="37"/>
        <v>4837500</v>
      </c>
      <c r="AE244" s="30">
        <f t="shared" si="37"/>
        <v>4950000.000000001</v>
      </c>
    </row>
    <row r="245" spans="1:5" ht="12.75">
      <c r="A245" s="16"/>
      <c r="B245" s="48"/>
      <c r="C245" s="26"/>
      <c r="D245" s="55"/>
      <c r="E245" s="130"/>
    </row>
    <row r="246" spans="1:6" ht="12.75">
      <c r="A246" s="24" t="s">
        <v>142</v>
      </c>
      <c r="B246" s="23"/>
      <c r="C246" s="26"/>
      <c r="D246" s="48"/>
      <c r="E246" s="15"/>
      <c r="F246" s="30"/>
    </row>
    <row r="247" spans="1:7" ht="12.75">
      <c r="A247" s="16" t="s">
        <v>141</v>
      </c>
      <c r="B247" s="23"/>
      <c r="C247" s="26"/>
      <c r="D247" s="66">
        <v>3</v>
      </c>
      <c r="E247" s="67">
        <v>3</v>
      </c>
      <c r="F247" s="30"/>
      <c r="G247" s="30"/>
    </row>
    <row r="248" spans="1:7" ht="12.75">
      <c r="A248" s="16" t="s">
        <v>140</v>
      </c>
      <c r="B248" s="12"/>
      <c r="C248" s="26"/>
      <c r="D248" s="74">
        <v>12</v>
      </c>
      <c r="E248" s="75">
        <v>12</v>
      </c>
      <c r="F248" s="30" t="s">
        <v>43</v>
      </c>
      <c r="G248" s="30"/>
    </row>
    <row r="249" spans="1:31" ht="12.75">
      <c r="A249" s="16" t="s">
        <v>230</v>
      </c>
      <c r="B249" s="23"/>
      <c r="C249" s="26"/>
      <c r="D249" s="76">
        <v>0.5</v>
      </c>
      <c r="E249" s="69">
        <v>0.55</v>
      </c>
      <c r="F249" s="30"/>
      <c r="G249" s="30" t="s">
        <v>90</v>
      </c>
      <c r="H249" s="136">
        <f aca="true" t="shared" si="38" ref="H249:S249">(H244/1000)*$D$248*$D$247*$D$249</f>
        <v>3600</v>
      </c>
      <c r="I249" s="136">
        <f t="shared" si="38"/>
        <v>7200</v>
      </c>
      <c r="J249" s="136">
        <f t="shared" si="38"/>
        <v>10800</v>
      </c>
      <c r="K249" s="136">
        <f t="shared" si="38"/>
        <v>14400</v>
      </c>
      <c r="L249" s="136">
        <f t="shared" si="38"/>
        <v>18000</v>
      </c>
      <c r="M249" s="136">
        <f t="shared" si="38"/>
        <v>21600</v>
      </c>
      <c r="N249" s="136">
        <f t="shared" si="38"/>
        <v>25200</v>
      </c>
      <c r="O249" s="136">
        <f t="shared" si="38"/>
        <v>28800</v>
      </c>
      <c r="P249" s="136">
        <f t="shared" si="38"/>
        <v>32400</v>
      </c>
      <c r="Q249" s="136">
        <f t="shared" si="38"/>
        <v>36000</v>
      </c>
      <c r="R249" s="136">
        <f t="shared" si="38"/>
        <v>39600</v>
      </c>
      <c r="S249" s="136">
        <f t="shared" si="38"/>
        <v>43200</v>
      </c>
      <c r="T249" s="136">
        <f aca="true" t="shared" si="39" ref="T249:AE249">(T244/1000)*$E$248*$E$247*$E$249</f>
        <v>73507.5</v>
      </c>
      <c r="U249" s="136">
        <f t="shared" si="39"/>
        <v>75735</v>
      </c>
      <c r="V249" s="136">
        <f t="shared" si="39"/>
        <v>77962.5</v>
      </c>
      <c r="W249" s="136">
        <f t="shared" si="39"/>
        <v>80190</v>
      </c>
      <c r="X249" s="136">
        <f t="shared" si="39"/>
        <v>82417.5</v>
      </c>
      <c r="Y249" s="136">
        <f t="shared" si="39"/>
        <v>84645</v>
      </c>
      <c r="Z249" s="136">
        <f t="shared" si="39"/>
        <v>86872.5</v>
      </c>
      <c r="AA249" s="136">
        <f t="shared" si="39"/>
        <v>89100</v>
      </c>
      <c r="AB249" s="136">
        <f t="shared" si="39"/>
        <v>91327.50000000001</v>
      </c>
      <c r="AC249" s="136">
        <f t="shared" si="39"/>
        <v>93555.00000000001</v>
      </c>
      <c r="AD249" s="136">
        <f t="shared" si="39"/>
        <v>95782.50000000001</v>
      </c>
      <c r="AE249" s="136">
        <f t="shared" si="39"/>
        <v>98010.00000000004</v>
      </c>
    </row>
    <row r="250" spans="1:31" ht="12.75">
      <c r="A250" s="5"/>
      <c r="B250" s="12"/>
      <c r="C250" s="26"/>
      <c r="D250" s="48"/>
      <c r="E250" s="15"/>
      <c r="F250" s="30"/>
      <c r="G250" s="30"/>
      <c r="S250" s="136">
        <f>SUM(H249:S249)</f>
        <v>280800</v>
      </c>
      <c r="AE250" s="136">
        <f>SUM(T249:AE249)</f>
        <v>1029105</v>
      </c>
    </row>
    <row r="251" spans="1:7" ht="12.75">
      <c r="A251" s="24" t="s">
        <v>44</v>
      </c>
      <c r="B251" s="12"/>
      <c r="C251" s="26"/>
      <c r="D251" s="48"/>
      <c r="E251" s="15"/>
      <c r="F251" s="30"/>
      <c r="G251" s="30"/>
    </row>
    <row r="252" spans="1:7" ht="12.75">
      <c r="A252" s="16" t="s">
        <v>191</v>
      </c>
      <c r="B252" s="12"/>
      <c r="C252" s="26"/>
      <c r="D252" s="74">
        <v>4.5</v>
      </c>
      <c r="E252" s="75">
        <v>4.5</v>
      </c>
      <c r="F252" s="30" t="s">
        <v>43</v>
      </c>
      <c r="G252" s="30"/>
    </row>
    <row r="253" spans="1:31" ht="12.75">
      <c r="A253" s="16" t="s">
        <v>230</v>
      </c>
      <c r="B253" s="12"/>
      <c r="C253" s="26"/>
      <c r="D253" s="76">
        <v>0.2</v>
      </c>
      <c r="E253" s="69">
        <v>0.17</v>
      </c>
      <c r="F253" s="30"/>
      <c r="G253" s="30" t="s">
        <v>91</v>
      </c>
      <c r="H253" s="136">
        <f aca="true" t="shared" si="40" ref="H253:S253">(H244/1000)*$D$247*$D$252*$D$253</f>
        <v>540</v>
      </c>
      <c r="I253" s="136">
        <f t="shared" si="40"/>
        <v>1080</v>
      </c>
      <c r="J253" s="136">
        <f t="shared" si="40"/>
        <v>1620</v>
      </c>
      <c r="K253" s="136">
        <f t="shared" si="40"/>
        <v>2160</v>
      </c>
      <c r="L253" s="136">
        <f t="shared" si="40"/>
        <v>2700</v>
      </c>
      <c r="M253" s="136">
        <f t="shared" si="40"/>
        <v>3240</v>
      </c>
      <c r="N253" s="136">
        <f t="shared" si="40"/>
        <v>3780</v>
      </c>
      <c r="O253" s="136">
        <f t="shared" si="40"/>
        <v>4320</v>
      </c>
      <c r="P253" s="136">
        <f t="shared" si="40"/>
        <v>4860</v>
      </c>
      <c r="Q253" s="136">
        <f t="shared" si="40"/>
        <v>5400</v>
      </c>
      <c r="R253" s="136">
        <f t="shared" si="40"/>
        <v>5940</v>
      </c>
      <c r="S253" s="136">
        <f t="shared" si="40"/>
        <v>6480</v>
      </c>
      <c r="T253" s="136">
        <f aca="true" t="shared" si="41" ref="T253:AE253">(T244/1000)*$E$247*$E$252*$E$253</f>
        <v>8520.1875</v>
      </c>
      <c r="U253" s="136">
        <f t="shared" si="41"/>
        <v>8778.375</v>
      </c>
      <c r="V253" s="136">
        <f t="shared" si="41"/>
        <v>9036.5625</v>
      </c>
      <c r="W253" s="136">
        <f t="shared" si="41"/>
        <v>9294.75</v>
      </c>
      <c r="X253" s="136">
        <f t="shared" si="41"/>
        <v>9552.9375</v>
      </c>
      <c r="Y253" s="136">
        <f t="shared" si="41"/>
        <v>9811.125</v>
      </c>
      <c r="Z253" s="136">
        <f t="shared" si="41"/>
        <v>10069.3125</v>
      </c>
      <c r="AA253" s="136">
        <f t="shared" si="41"/>
        <v>10327.5</v>
      </c>
      <c r="AB253" s="136">
        <f t="shared" si="41"/>
        <v>10585.6875</v>
      </c>
      <c r="AC253" s="136">
        <f t="shared" si="41"/>
        <v>10843.875</v>
      </c>
      <c r="AD253" s="136">
        <f t="shared" si="41"/>
        <v>11102.0625</v>
      </c>
      <c r="AE253" s="136">
        <f t="shared" si="41"/>
        <v>11360.250000000004</v>
      </c>
    </row>
    <row r="254" spans="1:31" ht="12.75">
      <c r="A254" s="16"/>
      <c r="B254" s="12"/>
      <c r="C254" s="26"/>
      <c r="D254" s="48"/>
      <c r="E254" s="15"/>
      <c r="F254" s="30"/>
      <c r="G254" s="30"/>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row>
    <row r="255" spans="1:31" ht="12.75">
      <c r="A255" s="24" t="s">
        <v>45</v>
      </c>
      <c r="B255" s="12"/>
      <c r="C255" s="26"/>
      <c r="D255" s="48"/>
      <c r="E255" s="15"/>
      <c r="F255" s="30"/>
      <c r="G255" s="30"/>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row>
    <row r="256" spans="1:31" ht="12.75">
      <c r="A256" s="16" t="s">
        <v>191</v>
      </c>
      <c r="B256" s="12"/>
      <c r="C256" s="26"/>
      <c r="D256" s="74">
        <v>0.95</v>
      </c>
      <c r="E256" s="75">
        <v>0.95</v>
      </c>
      <c r="F256" s="30" t="s">
        <v>43</v>
      </c>
      <c r="G256" s="30"/>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row>
    <row r="257" spans="1:31" ht="12.75">
      <c r="A257" s="16" t="s">
        <v>230</v>
      </c>
      <c r="B257" s="12"/>
      <c r="C257" s="26"/>
      <c r="D257" s="76">
        <v>0.25</v>
      </c>
      <c r="E257" s="69">
        <v>0.23</v>
      </c>
      <c r="F257" s="30"/>
      <c r="G257" s="30" t="s">
        <v>92</v>
      </c>
      <c r="H257" s="136">
        <f aca="true" t="shared" si="42" ref="H257:S257">(H244/1000)*$D$247*$D$256*$D$257</f>
        <v>142.5</v>
      </c>
      <c r="I257" s="136">
        <f t="shared" si="42"/>
        <v>285</v>
      </c>
      <c r="J257" s="136">
        <f t="shared" si="42"/>
        <v>427.5</v>
      </c>
      <c r="K257" s="136">
        <f t="shared" si="42"/>
        <v>570</v>
      </c>
      <c r="L257" s="136">
        <f t="shared" si="42"/>
        <v>712.5</v>
      </c>
      <c r="M257" s="136">
        <f t="shared" si="42"/>
        <v>855</v>
      </c>
      <c r="N257" s="136">
        <f t="shared" si="42"/>
        <v>997.5</v>
      </c>
      <c r="O257" s="136">
        <f t="shared" si="42"/>
        <v>1140</v>
      </c>
      <c r="P257" s="136">
        <f t="shared" si="42"/>
        <v>1282.5</v>
      </c>
      <c r="Q257" s="136">
        <f t="shared" si="42"/>
        <v>1425</v>
      </c>
      <c r="R257" s="136">
        <f t="shared" si="42"/>
        <v>1567.5</v>
      </c>
      <c r="S257" s="136">
        <f t="shared" si="42"/>
        <v>1710</v>
      </c>
      <c r="T257" s="136">
        <f aca="true" t="shared" si="43" ref="T257:AE257">(T244/1000)*$E$247*$E$256*$E$257</f>
        <v>2433.5437500000003</v>
      </c>
      <c r="U257" s="136">
        <f t="shared" si="43"/>
        <v>2507.2875</v>
      </c>
      <c r="V257" s="136">
        <f t="shared" si="43"/>
        <v>2581.03125</v>
      </c>
      <c r="W257" s="136">
        <f t="shared" si="43"/>
        <v>2654.775</v>
      </c>
      <c r="X257" s="136">
        <f t="shared" si="43"/>
        <v>2728.51875</v>
      </c>
      <c r="Y257" s="136">
        <f t="shared" si="43"/>
        <v>2802.2625000000003</v>
      </c>
      <c r="Z257" s="136">
        <f t="shared" si="43"/>
        <v>2876.00625</v>
      </c>
      <c r="AA257" s="136">
        <f t="shared" si="43"/>
        <v>2949.75</v>
      </c>
      <c r="AB257" s="136">
        <f t="shared" si="43"/>
        <v>3023.49375</v>
      </c>
      <c r="AC257" s="136">
        <f t="shared" si="43"/>
        <v>3097.2375</v>
      </c>
      <c r="AD257" s="136">
        <f t="shared" si="43"/>
        <v>3170.9812500000003</v>
      </c>
      <c r="AE257" s="136">
        <f t="shared" si="43"/>
        <v>3244.725000000001</v>
      </c>
    </row>
    <row r="258" spans="1:31" ht="12.75">
      <c r="A258" s="5"/>
      <c r="B258" s="12"/>
      <c r="C258" s="26"/>
      <c r="D258" s="17"/>
      <c r="E258" s="18"/>
      <c r="F258" s="30"/>
      <c r="G258" s="30"/>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row>
    <row r="259" spans="1:31" ht="12.75">
      <c r="A259" s="24" t="s">
        <v>143</v>
      </c>
      <c r="B259" s="12"/>
      <c r="C259" s="26"/>
      <c r="D259" s="48"/>
      <c r="E259" s="15"/>
      <c r="F259" s="30"/>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row>
    <row r="260" spans="1:31" ht="12.75">
      <c r="A260" s="16" t="s">
        <v>141</v>
      </c>
      <c r="B260" s="12"/>
      <c r="C260" s="26"/>
      <c r="D260" s="66">
        <v>3</v>
      </c>
      <c r="E260" s="67">
        <v>3</v>
      </c>
      <c r="F260" s="30"/>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row>
    <row r="261" spans="1:31" ht="12.75">
      <c r="A261" s="16" t="s">
        <v>322</v>
      </c>
      <c r="B261" s="7"/>
      <c r="C261" s="26"/>
      <c r="D261" s="77">
        <v>0.2</v>
      </c>
      <c r="E261" s="81">
        <v>0.2</v>
      </c>
      <c r="F261" s="30" t="s">
        <v>43</v>
      </c>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row>
    <row r="262" spans="1:31" ht="12.75">
      <c r="A262" s="16" t="s">
        <v>268</v>
      </c>
      <c r="B262" s="2"/>
      <c r="C262" s="26"/>
      <c r="D262" s="82">
        <v>0.0036</v>
      </c>
      <c r="E262" s="83">
        <v>0.0036</v>
      </c>
      <c r="F262" s="30" t="s">
        <v>43</v>
      </c>
      <c r="G262" s="25" t="s">
        <v>93</v>
      </c>
      <c r="H262" s="136">
        <f aca="true" t="shared" si="44" ref="H262:S262">H244*$D$260*$D$261*$D$262</f>
        <v>432</v>
      </c>
      <c r="I262" s="136">
        <f t="shared" si="44"/>
        <v>864</v>
      </c>
      <c r="J262" s="136">
        <f t="shared" si="44"/>
        <v>1296</v>
      </c>
      <c r="K262" s="136">
        <f t="shared" si="44"/>
        <v>1728</v>
      </c>
      <c r="L262" s="136">
        <f t="shared" si="44"/>
        <v>2160</v>
      </c>
      <c r="M262" s="136">
        <f t="shared" si="44"/>
        <v>2592</v>
      </c>
      <c r="N262" s="136">
        <f t="shared" si="44"/>
        <v>3024</v>
      </c>
      <c r="O262" s="136">
        <f t="shared" si="44"/>
        <v>3456</v>
      </c>
      <c r="P262" s="136">
        <f t="shared" si="44"/>
        <v>3888</v>
      </c>
      <c r="Q262" s="136">
        <f t="shared" si="44"/>
        <v>4320</v>
      </c>
      <c r="R262" s="136">
        <f t="shared" si="44"/>
        <v>4752</v>
      </c>
      <c r="S262" s="136">
        <f t="shared" si="44"/>
        <v>5184</v>
      </c>
      <c r="T262" s="136">
        <f aca="true" t="shared" si="45" ref="T262:AE262">T244*$E$260*$E$261*$E$262</f>
        <v>8019</v>
      </c>
      <c r="U262" s="136">
        <f t="shared" si="45"/>
        <v>8262</v>
      </c>
      <c r="V262" s="136">
        <f t="shared" si="45"/>
        <v>8505</v>
      </c>
      <c r="W262" s="136">
        <f t="shared" si="45"/>
        <v>8748</v>
      </c>
      <c r="X262" s="136">
        <f t="shared" si="45"/>
        <v>8991</v>
      </c>
      <c r="Y262" s="136">
        <f t="shared" si="45"/>
        <v>9234</v>
      </c>
      <c r="Z262" s="136">
        <f t="shared" si="45"/>
        <v>9477</v>
      </c>
      <c r="AA262" s="136">
        <f t="shared" si="45"/>
        <v>9720</v>
      </c>
      <c r="AB262" s="136">
        <f t="shared" si="45"/>
        <v>9963</v>
      </c>
      <c r="AC262" s="136">
        <f t="shared" si="45"/>
        <v>10206</v>
      </c>
      <c r="AD262" s="136">
        <f t="shared" si="45"/>
        <v>10449</v>
      </c>
      <c r="AE262" s="136">
        <f t="shared" si="45"/>
        <v>10692.000000000004</v>
      </c>
    </row>
    <row r="263" spans="1:31" ht="12.75">
      <c r="A263" s="16"/>
      <c r="B263" s="2"/>
      <c r="C263" s="26"/>
      <c r="D263" s="2"/>
      <c r="E263" s="3"/>
      <c r="F263" s="30"/>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row>
    <row r="264" spans="1:31" ht="12.75">
      <c r="A264" s="24" t="s">
        <v>335</v>
      </c>
      <c r="B264" s="2"/>
      <c r="C264" s="26"/>
      <c r="D264" s="2"/>
      <c r="E264" s="3"/>
      <c r="F264" s="30"/>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row>
    <row r="265" spans="1:31" ht="12.75">
      <c r="A265" s="16" t="s">
        <v>151</v>
      </c>
      <c r="B265" s="48"/>
      <c r="C265" s="26"/>
      <c r="D265" s="84">
        <v>1500</v>
      </c>
      <c r="E265" s="85">
        <f>D265*1.05</f>
        <v>1575</v>
      </c>
      <c r="F265" s="30"/>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row>
    <row r="266" spans="1:31" ht="12.75">
      <c r="A266" s="16" t="s">
        <v>152</v>
      </c>
      <c r="B266" s="48"/>
      <c r="C266" s="26"/>
      <c r="D266" s="86">
        <v>5</v>
      </c>
      <c r="E266" s="87">
        <v>8</v>
      </c>
      <c r="F266" s="30"/>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row>
    <row r="267" spans="1:31" ht="12.75">
      <c r="A267" s="16" t="s">
        <v>260</v>
      </c>
      <c r="B267" s="48"/>
      <c r="C267" s="26"/>
      <c r="D267" s="86">
        <v>52</v>
      </c>
      <c r="E267" s="87">
        <v>52</v>
      </c>
      <c r="F267" s="30"/>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row>
    <row r="268" spans="1:31" ht="12.75">
      <c r="A268" s="16" t="s">
        <v>261</v>
      </c>
      <c r="B268" s="48"/>
      <c r="C268" s="26"/>
      <c r="D268" s="76">
        <v>0.5</v>
      </c>
      <c r="E268" s="69">
        <v>0.6</v>
      </c>
      <c r="F268" s="30"/>
      <c r="G268" s="25" t="s">
        <v>335</v>
      </c>
      <c r="H268" s="136">
        <f aca="true" t="shared" si="46" ref="H268:S268">($D$265*$D$266*$D$267*$D$268)/12</f>
        <v>16250</v>
      </c>
      <c r="I268" s="136">
        <f t="shared" si="46"/>
        <v>16250</v>
      </c>
      <c r="J268" s="136">
        <f t="shared" si="46"/>
        <v>16250</v>
      </c>
      <c r="K268" s="136">
        <f t="shared" si="46"/>
        <v>16250</v>
      </c>
      <c r="L268" s="136">
        <f t="shared" si="46"/>
        <v>16250</v>
      </c>
      <c r="M268" s="136">
        <f t="shared" si="46"/>
        <v>16250</v>
      </c>
      <c r="N268" s="136">
        <f t="shared" si="46"/>
        <v>16250</v>
      </c>
      <c r="O268" s="136">
        <f t="shared" si="46"/>
        <v>16250</v>
      </c>
      <c r="P268" s="136">
        <f t="shared" si="46"/>
        <v>16250</v>
      </c>
      <c r="Q268" s="136">
        <f t="shared" si="46"/>
        <v>16250</v>
      </c>
      <c r="R268" s="136">
        <f t="shared" si="46"/>
        <v>16250</v>
      </c>
      <c r="S268" s="136">
        <f t="shared" si="46"/>
        <v>16250</v>
      </c>
      <c r="T268" s="136">
        <f aca="true" t="shared" si="47" ref="T268:AE268">($E$265*$E$266*$E$267*$E$268)/12</f>
        <v>32760</v>
      </c>
      <c r="U268" s="136">
        <f t="shared" si="47"/>
        <v>32760</v>
      </c>
      <c r="V268" s="136">
        <f t="shared" si="47"/>
        <v>32760</v>
      </c>
      <c r="W268" s="136">
        <f t="shared" si="47"/>
        <v>32760</v>
      </c>
      <c r="X268" s="136">
        <f t="shared" si="47"/>
        <v>32760</v>
      </c>
      <c r="Y268" s="136">
        <f t="shared" si="47"/>
        <v>32760</v>
      </c>
      <c r="Z268" s="136">
        <f t="shared" si="47"/>
        <v>32760</v>
      </c>
      <c r="AA268" s="136">
        <f t="shared" si="47"/>
        <v>32760</v>
      </c>
      <c r="AB268" s="136">
        <f t="shared" si="47"/>
        <v>32760</v>
      </c>
      <c r="AC268" s="136">
        <f t="shared" si="47"/>
        <v>32760</v>
      </c>
      <c r="AD268" s="136">
        <f t="shared" si="47"/>
        <v>32760</v>
      </c>
      <c r="AE268" s="136">
        <f t="shared" si="47"/>
        <v>32760</v>
      </c>
    </row>
    <row r="269" spans="1:31" ht="12.75">
      <c r="A269" s="16"/>
      <c r="B269" s="17"/>
      <c r="C269" s="26"/>
      <c r="D269" s="17"/>
      <c r="E269" s="18"/>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row>
    <row r="270" spans="1:31" ht="13.5" thickBot="1">
      <c r="A270" s="19"/>
      <c r="B270" s="20"/>
      <c r="C270" s="20"/>
      <c r="D270" s="20"/>
      <c r="E270" s="21"/>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row>
    <row r="271" spans="8:31" ht="12.75">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row>
    <row r="272" spans="3:31" ht="12.75">
      <c r="C272" s="169" t="s">
        <v>319</v>
      </c>
      <c r="D272" s="169" t="s">
        <v>320</v>
      </c>
      <c r="E272" s="169" t="s">
        <v>321</v>
      </c>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row>
    <row r="273" spans="8:31" ht="12.75">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row>
    <row r="274" spans="1:31" ht="12.75">
      <c r="A274" s="25" t="s">
        <v>94</v>
      </c>
      <c r="D274" s="23">
        <f>SUM(H274:S274)</f>
        <v>843531</v>
      </c>
      <c r="E274" s="23">
        <f>AE275+AE277</f>
        <v>3560479.2375</v>
      </c>
      <c r="F274" s="182" t="s">
        <v>95</v>
      </c>
      <c r="H274" s="136">
        <f>SUM(H249:H268)</f>
        <v>20964.5</v>
      </c>
      <c r="I274" s="136">
        <f aca="true" t="shared" si="48" ref="I274:AE274">SUM(I249:I268)</f>
        <v>25679</v>
      </c>
      <c r="J274" s="136">
        <f t="shared" si="48"/>
        <v>30393.5</v>
      </c>
      <c r="K274" s="136">
        <f t="shared" si="48"/>
        <v>35108</v>
      </c>
      <c r="L274" s="136">
        <f t="shared" si="48"/>
        <v>39822.5</v>
      </c>
      <c r="M274" s="136">
        <f t="shared" si="48"/>
        <v>44537</v>
      </c>
      <c r="N274" s="136">
        <f t="shared" si="48"/>
        <v>49251.5</v>
      </c>
      <c r="O274" s="136">
        <f t="shared" si="48"/>
        <v>53966</v>
      </c>
      <c r="P274" s="136">
        <f t="shared" si="48"/>
        <v>58680.5</v>
      </c>
      <c r="Q274" s="136">
        <f t="shared" si="48"/>
        <v>63395</v>
      </c>
      <c r="R274" s="136">
        <f t="shared" si="48"/>
        <v>68109.5</v>
      </c>
      <c r="S274" s="136">
        <f t="shared" si="48"/>
        <v>353624</v>
      </c>
      <c r="T274" s="136">
        <f t="shared" si="48"/>
        <v>125240.23125</v>
      </c>
      <c r="U274" s="136">
        <f t="shared" si="48"/>
        <v>128042.6625</v>
      </c>
      <c r="V274" s="136">
        <f t="shared" si="48"/>
        <v>130845.09375</v>
      </c>
      <c r="W274" s="136">
        <f t="shared" si="48"/>
        <v>133647.525</v>
      </c>
      <c r="X274" s="136">
        <f t="shared" si="48"/>
        <v>136449.95625</v>
      </c>
      <c r="Y274" s="136">
        <f t="shared" si="48"/>
        <v>139252.3875</v>
      </c>
      <c r="Z274" s="136">
        <f t="shared" si="48"/>
        <v>142054.81875</v>
      </c>
      <c r="AA274" s="136">
        <f t="shared" si="48"/>
        <v>144857.25</v>
      </c>
      <c r="AB274" s="136">
        <f t="shared" si="48"/>
        <v>147659.68125000002</v>
      </c>
      <c r="AC274" s="136">
        <f t="shared" si="48"/>
        <v>150462.11250000002</v>
      </c>
      <c r="AD274" s="136">
        <f t="shared" si="48"/>
        <v>153264.54375</v>
      </c>
      <c r="AE274" s="136">
        <f t="shared" si="48"/>
        <v>1185171.975</v>
      </c>
    </row>
    <row r="275" spans="3:31" ht="12.75">
      <c r="C275" s="23"/>
      <c r="D275" s="23"/>
      <c r="E275" s="23"/>
      <c r="F275" s="182"/>
      <c r="H275" s="136"/>
      <c r="I275" s="136"/>
      <c r="J275" s="136"/>
      <c r="K275" s="136"/>
      <c r="L275" s="136"/>
      <c r="M275" s="136"/>
      <c r="N275" s="136"/>
      <c r="O275" s="136"/>
      <c r="P275" s="136"/>
      <c r="Q275" s="136"/>
      <c r="R275" s="136"/>
      <c r="S275" s="136">
        <f>SUM(H274:S274)</f>
        <v>843531</v>
      </c>
      <c r="T275" s="136"/>
      <c r="U275" s="136"/>
      <c r="V275" s="136"/>
      <c r="W275" s="136"/>
      <c r="X275" s="136"/>
      <c r="Y275" s="136"/>
      <c r="Z275" s="136"/>
      <c r="AA275" s="136"/>
      <c r="AB275" s="136"/>
      <c r="AC275" s="136"/>
      <c r="AD275" s="136"/>
      <c r="AE275" s="136">
        <f>SUM(T274:AE274)</f>
        <v>2716948.2375</v>
      </c>
    </row>
    <row r="276" spans="6:31" ht="12.75">
      <c r="F276" s="182" t="s">
        <v>96</v>
      </c>
      <c r="H276" s="136"/>
      <c r="I276" s="136"/>
      <c r="J276" s="136"/>
      <c r="K276" s="136"/>
      <c r="L276" s="136"/>
      <c r="M276" s="136"/>
      <c r="N276" s="136"/>
      <c r="O276" s="136"/>
      <c r="P276" s="136"/>
      <c r="Q276" s="136"/>
      <c r="R276" s="136"/>
      <c r="S276" s="136"/>
      <c r="T276" s="136">
        <f>H274</f>
        <v>20964.5</v>
      </c>
      <c r="U276" s="136">
        <f aca="true" t="shared" si="49" ref="U276:AE276">I274</f>
        <v>25679</v>
      </c>
      <c r="V276" s="136">
        <f t="shared" si="49"/>
        <v>30393.5</v>
      </c>
      <c r="W276" s="136">
        <f t="shared" si="49"/>
        <v>35108</v>
      </c>
      <c r="X276" s="136">
        <f t="shared" si="49"/>
        <v>39822.5</v>
      </c>
      <c r="Y276" s="136">
        <f t="shared" si="49"/>
        <v>44537</v>
      </c>
      <c r="Z276" s="136">
        <f t="shared" si="49"/>
        <v>49251.5</v>
      </c>
      <c r="AA276" s="136">
        <f t="shared" si="49"/>
        <v>53966</v>
      </c>
      <c r="AB276" s="136">
        <f t="shared" si="49"/>
        <v>58680.5</v>
      </c>
      <c r="AC276" s="136">
        <f t="shared" si="49"/>
        <v>63395</v>
      </c>
      <c r="AD276" s="136">
        <f t="shared" si="49"/>
        <v>68109.5</v>
      </c>
      <c r="AE276" s="136">
        <f t="shared" si="49"/>
        <v>353624</v>
      </c>
    </row>
    <row r="277" spans="6:31" ht="12.75">
      <c r="F277" s="182"/>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f>SUM(T276:AE276)</f>
        <v>843531</v>
      </c>
    </row>
    <row r="278" spans="6:31" ht="12.75">
      <c r="F278" s="182" t="s">
        <v>97</v>
      </c>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row>
    <row r="279" spans="8:31" ht="12.75">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row>
    <row r="280" spans="6:31" ht="12.75">
      <c r="F280" s="182" t="s">
        <v>98</v>
      </c>
      <c r="H280" s="136">
        <f>H249+H268</f>
        <v>19850</v>
      </c>
      <c r="I280" s="136">
        <f aca="true" t="shared" si="50" ref="I280:AE280">I249+I268</f>
        <v>23450</v>
      </c>
      <c r="J280" s="136">
        <f t="shared" si="50"/>
        <v>27050</v>
      </c>
      <c r="K280" s="136">
        <f t="shared" si="50"/>
        <v>30650</v>
      </c>
      <c r="L280" s="136">
        <f t="shared" si="50"/>
        <v>34250</v>
      </c>
      <c r="M280" s="136">
        <f t="shared" si="50"/>
        <v>37850</v>
      </c>
      <c r="N280" s="136">
        <f t="shared" si="50"/>
        <v>41450</v>
      </c>
      <c r="O280" s="136">
        <f t="shared" si="50"/>
        <v>45050</v>
      </c>
      <c r="P280" s="136">
        <f t="shared" si="50"/>
        <v>48650</v>
      </c>
      <c r="Q280" s="136">
        <f t="shared" si="50"/>
        <v>52250</v>
      </c>
      <c r="R280" s="136">
        <f t="shared" si="50"/>
        <v>55850</v>
      </c>
      <c r="S280" s="136">
        <f t="shared" si="50"/>
        <v>59450</v>
      </c>
      <c r="T280" s="136">
        <f t="shared" si="50"/>
        <v>106267.5</v>
      </c>
      <c r="U280" s="136">
        <f t="shared" si="50"/>
        <v>108495</v>
      </c>
      <c r="V280" s="136">
        <f t="shared" si="50"/>
        <v>110722.5</v>
      </c>
      <c r="W280" s="136">
        <f t="shared" si="50"/>
        <v>112950</v>
      </c>
      <c r="X280" s="136">
        <f t="shared" si="50"/>
        <v>115177.5</v>
      </c>
      <c r="Y280" s="136">
        <f t="shared" si="50"/>
        <v>117405</v>
      </c>
      <c r="Z280" s="136">
        <f t="shared" si="50"/>
        <v>119632.5</v>
      </c>
      <c r="AA280" s="136">
        <f t="shared" si="50"/>
        <v>121860</v>
      </c>
      <c r="AB280" s="136">
        <f t="shared" si="50"/>
        <v>124087.50000000001</v>
      </c>
      <c r="AC280" s="136">
        <f t="shared" si="50"/>
        <v>126315.00000000001</v>
      </c>
      <c r="AD280" s="136">
        <f t="shared" si="50"/>
        <v>128542.50000000001</v>
      </c>
      <c r="AE280" s="136">
        <f t="shared" si="50"/>
        <v>130770.00000000004</v>
      </c>
    </row>
    <row r="281" spans="8:31" ht="12.75">
      <c r="H281" s="136"/>
      <c r="I281" s="136"/>
      <c r="J281" s="136"/>
      <c r="K281" s="136"/>
      <c r="L281" s="136"/>
      <c r="M281" s="136"/>
      <c r="N281" s="136"/>
      <c r="O281" s="136"/>
      <c r="P281" s="136"/>
      <c r="Q281" s="136"/>
      <c r="R281" s="136"/>
      <c r="S281" s="136">
        <f>SUM(H280:S280)</f>
        <v>475800</v>
      </c>
      <c r="T281" s="136"/>
      <c r="U281" s="136"/>
      <c r="V281" s="136"/>
      <c r="W281" s="136"/>
      <c r="X281" s="136"/>
      <c r="Y281" s="136"/>
      <c r="Z281" s="136"/>
      <c r="AA281" s="136"/>
      <c r="AB281" s="136"/>
      <c r="AC281" s="136"/>
      <c r="AD281" s="136"/>
      <c r="AE281" s="136">
        <f>SUM(T280:AE280)</f>
        <v>1422225</v>
      </c>
    </row>
    <row r="282" spans="6:31" ht="12.75">
      <c r="F282" s="182" t="s">
        <v>470</v>
      </c>
      <c r="H282" s="136">
        <f>H249+H253+H257+H262</f>
        <v>4714.5</v>
      </c>
      <c r="I282" s="136">
        <f aca="true" t="shared" si="51" ref="I282:AE282">I249+I253+I257+I262</f>
        <v>9429</v>
      </c>
      <c r="J282" s="136">
        <f t="shared" si="51"/>
        <v>14143.5</v>
      </c>
      <c r="K282" s="136">
        <f t="shared" si="51"/>
        <v>18858</v>
      </c>
      <c r="L282" s="136">
        <f t="shared" si="51"/>
        <v>23572.5</v>
      </c>
      <c r="M282" s="136">
        <f t="shared" si="51"/>
        <v>28287</v>
      </c>
      <c r="N282" s="136">
        <f t="shared" si="51"/>
        <v>33001.5</v>
      </c>
      <c r="O282" s="136">
        <f t="shared" si="51"/>
        <v>37716</v>
      </c>
      <c r="P282" s="136">
        <f t="shared" si="51"/>
        <v>42430.5</v>
      </c>
      <c r="Q282" s="136">
        <f t="shared" si="51"/>
        <v>47145</v>
      </c>
      <c r="R282" s="136">
        <f t="shared" si="51"/>
        <v>51859.5</v>
      </c>
      <c r="S282" s="136">
        <f t="shared" si="51"/>
        <v>56574</v>
      </c>
      <c r="T282" s="136">
        <f t="shared" si="51"/>
        <v>92480.23125</v>
      </c>
      <c r="U282" s="136">
        <f t="shared" si="51"/>
        <v>95282.6625</v>
      </c>
      <c r="V282" s="136">
        <f t="shared" si="51"/>
        <v>98085.09375</v>
      </c>
      <c r="W282" s="136">
        <f t="shared" si="51"/>
        <v>100887.525</v>
      </c>
      <c r="X282" s="136">
        <f t="shared" si="51"/>
        <v>103689.95625</v>
      </c>
      <c r="Y282" s="136">
        <f t="shared" si="51"/>
        <v>106492.3875</v>
      </c>
      <c r="Z282" s="136">
        <f t="shared" si="51"/>
        <v>109294.81875</v>
      </c>
      <c r="AA282" s="136">
        <f t="shared" si="51"/>
        <v>112097.25</v>
      </c>
      <c r="AB282" s="136">
        <f t="shared" si="51"/>
        <v>114899.68125000001</v>
      </c>
      <c r="AC282" s="136">
        <f t="shared" si="51"/>
        <v>117702.11250000002</v>
      </c>
      <c r="AD282" s="136">
        <f t="shared" si="51"/>
        <v>120504.54375000001</v>
      </c>
      <c r="AE282" s="136">
        <f t="shared" si="51"/>
        <v>123306.97500000005</v>
      </c>
    </row>
    <row r="283" spans="8:31" ht="12.75">
      <c r="H283" s="136"/>
      <c r="I283" s="136"/>
      <c r="J283" s="136"/>
      <c r="K283" s="136"/>
      <c r="L283" s="136"/>
      <c r="M283" s="136"/>
      <c r="N283" s="136"/>
      <c r="O283" s="136"/>
      <c r="P283" s="136"/>
      <c r="Q283" s="136"/>
      <c r="R283" s="136"/>
      <c r="S283" s="136">
        <f>SUM(H282:S282)</f>
        <v>367731</v>
      </c>
      <c r="T283" s="136"/>
      <c r="U283" s="136"/>
      <c r="V283" s="136"/>
      <c r="W283" s="136"/>
      <c r="X283" s="136"/>
      <c r="Y283" s="136"/>
      <c r="Z283" s="136"/>
      <c r="AA283" s="136"/>
      <c r="AB283" s="136"/>
      <c r="AC283" s="136"/>
      <c r="AD283" s="136"/>
      <c r="AE283" s="136">
        <f>SUM(T282:AE282)</f>
        <v>1294723.2375</v>
      </c>
    </row>
    <row r="284" spans="8:43" ht="12.75">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row>
    <row r="285" spans="1:43" ht="12.75">
      <c r="A285" s="99" t="s">
        <v>471</v>
      </c>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row>
    <row r="286" spans="1:43" ht="12.75">
      <c r="A286" s="99"/>
      <c r="B286" s="25" t="s">
        <v>472</v>
      </c>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row>
    <row r="287" spans="1:43" ht="12.75">
      <c r="A287" s="99"/>
      <c r="B287" s="164" t="s">
        <v>473</v>
      </c>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row>
    <row r="288" spans="8:43" ht="13.5" thickBot="1">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row>
    <row r="289" spans="1:43" ht="12.75">
      <c r="A289" s="70" t="s">
        <v>197</v>
      </c>
      <c r="B289" s="71"/>
      <c r="C289" s="71"/>
      <c r="D289" s="71"/>
      <c r="E289" s="331"/>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row>
    <row r="290" spans="1:43" ht="12.75">
      <c r="A290" s="16"/>
      <c r="B290" s="48"/>
      <c r="C290" s="55" t="s">
        <v>319</v>
      </c>
      <c r="D290" s="55" t="s">
        <v>320</v>
      </c>
      <c r="E290" s="130" t="s">
        <v>321</v>
      </c>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row>
    <row r="291" spans="1:43" ht="12.75">
      <c r="A291" s="16"/>
      <c r="B291" s="17" t="s">
        <v>15</v>
      </c>
      <c r="C291" s="11"/>
      <c r="D291" s="11">
        <f>'Revenue - Website'!D16</f>
        <v>5000000</v>
      </c>
      <c r="E291" s="166">
        <f>'Revenue - Website'!E16</f>
        <v>5000000</v>
      </c>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row>
    <row r="292" spans="1:43" ht="12.75">
      <c r="A292" s="16"/>
      <c r="B292" s="17" t="s">
        <v>474</v>
      </c>
      <c r="C292" s="11"/>
      <c r="D292" s="76">
        <v>0.5</v>
      </c>
      <c r="E292" s="69">
        <v>0.5</v>
      </c>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row>
    <row r="293" spans="1:43" ht="12.75">
      <c r="A293" s="16"/>
      <c r="B293" s="17"/>
      <c r="C293" s="11"/>
      <c r="D293" s="11"/>
      <c r="E293" s="16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row>
    <row r="294" spans="1:43" ht="12.75">
      <c r="A294" s="16"/>
      <c r="B294" s="17" t="s">
        <v>475</v>
      </c>
      <c r="C294" s="11"/>
      <c r="D294" s="76">
        <v>0.01</v>
      </c>
      <c r="E294" s="335">
        <v>0.005</v>
      </c>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row>
    <row r="295" spans="1:43" ht="12.75">
      <c r="A295" s="16"/>
      <c r="B295" s="17" t="s">
        <v>476</v>
      </c>
      <c r="C295" s="11"/>
      <c r="D295" s="11">
        <f>D291*D292*D294</f>
        <v>25000</v>
      </c>
      <c r="E295" s="166">
        <f>E291*E292*E294</f>
        <v>12500</v>
      </c>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row>
    <row r="296" spans="1:43" ht="12.75">
      <c r="A296" s="16"/>
      <c r="B296" s="17"/>
      <c r="C296" s="11"/>
      <c r="D296" s="11"/>
      <c r="E296" s="16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row>
    <row r="297" spans="1:43" ht="12.75">
      <c r="A297" s="16"/>
      <c r="B297" s="17" t="s">
        <v>477</v>
      </c>
      <c r="C297" s="11"/>
      <c r="D297" s="11"/>
      <c r="E297" s="341">
        <v>0.01</v>
      </c>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row>
    <row r="298" spans="1:43" ht="12.75">
      <c r="A298" s="16"/>
      <c r="B298" s="17" t="s">
        <v>478</v>
      </c>
      <c r="C298" s="11"/>
      <c r="D298" s="11"/>
      <c r="E298" s="166">
        <f>E291*E292*E297</f>
        <v>25000</v>
      </c>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row>
    <row r="299" spans="1:43" ht="12.75">
      <c r="A299" s="16"/>
      <c r="B299" s="17"/>
      <c r="C299" s="11"/>
      <c r="D299" s="11"/>
      <c r="E299" s="16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row>
    <row r="300" spans="1:43" ht="12.75">
      <c r="A300" s="16"/>
      <c r="B300" s="17" t="s">
        <v>479</v>
      </c>
      <c r="C300" s="11"/>
      <c r="D300" s="86">
        <v>1</v>
      </c>
      <c r="E300" s="87">
        <v>2</v>
      </c>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row>
    <row r="301" spans="1:43" ht="12.75">
      <c r="A301" s="16"/>
      <c r="B301" s="17"/>
      <c r="C301" s="11"/>
      <c r="D301" s="183"/>
      <c r="E301" s="184"/>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row>
    <row r="302" spans="1:43" ht="12.75">
      <c r="A302" s="179"/>
      <c r="B302" s="17" t="s">
        <v>480</v>
      </c>
      <c r="C302" s="11"/>
      <c r="D302" s="74">
        <v>1.99</v>
      </c>
      <c r="E302" s="75">
        <v>1.99</v>
      </c>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row>
    <row r="303" spans="1:43" ht="12.75">
      <c r="A303" s="16"/>
      <c r="B303" s="17"/>
      <c r="C303" s="17"/>
      <c r="D303" s="17"/>
      <c r="E303" s="18"/>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row>
    <row r="304" spans="1:43" ht="13.5" thickBot="1">
      <c r="A304" s="19"/>
      <c r="B304" s="20"/>
      <c r="C304" s="20"/>
      <c r="D304" s="20"/>
      <c r="E304" s="21"/>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row>
    <row r="305" spans="8:43" ht="12.75">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row>
    <row r="306" spans="3:43" ht="12.75">
      <c r="C306" s="169" t="s">
        <v>319</v>
      </c>
      <c r="D306" s="169" t="s">
        <v>320</v>
      </c>
      <c r="E306" s="169" t="s">
        <v>321</v>
      </c>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row>
    <row r="307" spans="1:43" ht="12.75">
      <c r="A307" s="99"/>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row>
    <row r="308" spans="1:43" ht="12.75">
      <c r="A308" s="25" t="s">
        <v>283</v>
      </c>
      <c r="C308" s="23"/>
      <c r="D308" s="23">
        <f>D295*D300*D302</f>
        <v>49750</v>
      </c>
      <c r="E308" s="23">
        <f>((E300-D300)*E298*E302)+(D300*E295*E302)</f>
        <v>74625</v>
      </c>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row>
    <row r="309" spans="8:43" ht="12.75">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row>
    <row r="310" spans="8:43" ht="12.75">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row>
    <row r="311" spans="8:43" ht="12.75">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row>
    <row r="312" ht="12.75">
      <c r="A312" s="99" t="s">
        <v>481</v>
      </c>
    </row>
    <row r="313" spans="1:2" ht="12.75">
      <c r="A313" s="99"/>
      <c r="B313" s="164" t="s">
        <v>482</v>
      </c>
    </row>
    <row r="314" spans="1:2" ht="12.75">
      <c r="A314" s="99"/>
      <c r="B314" s="164" t="s">
        <v>483</v>
      </c>
    </row>
    <row r="315" spans="1:2" ht="12.75">
      <c r="A315" s="99"/>
      <c r="B315" s="164" t="s">
        <v>484</v>
      </c>
    </row>
    <row r="316" spans="1:2" ht="12.75">
      <c r="A316" s="99"/>
      <c r="B316" s="164" t="s">
        <v>485</v>
      </c>
    </row>
    <row r="317" ht="13.5" thickBot="1"/>
    <row r="318" spans="1:5" ht="12.75">
      <c r="A318" s="70" t="s">
        <v>197</v>
      </c>
      <c r="B318" s="71"/>
      <c r="C318" s="71"/>
      <c r="D318" s="71"/>
      <c r="E318" s="331"/>
    </row>
    <row r="319" spans="1:5" ht="12.75">
      <c r="A319" s="16"/>
      <c r="B319" s="48"/>
      <c r="C319" s="55" t="s">
        <v>319</v>
      </c>
      <c r="D319" s="55" t="s">
        <v>320</v>
      </c>
      <c r="E319" s="130" t="s">
        <v>321</v>
      </c>
    </row>
    <row r="320" spans="1:43" ht="12.75">
      <c r="A320" s="16"/>
      <c r="B320" s="48" t="s">
        <v>15</v>
      </c>
      <c r="C320" s="11"/>
      <c r="D320" s="11">
        <f>'Revenue - Website'!D16</f>
        <v>5000000</v>
      </c>
      <c r="E320" s="166">
        <f>'Revenue - Website'!E16</f>
        <v>5000000</v>
      </c>
      <c r="F320" s="182"/>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row>
    <row r="321" spans="1:6" ht="12.75">
      <c r="A321" s="16"/>
      <c r="B321" s="26" t="s">
        <v>486</v>
      </c>
      <c r="C321" s="17"/>
      <c r="D321" s="334">
        <v>0.001</v>
      </c>
      <c r="E321" s="335">
        <v>0.002</v>
      </c>
      <c r="F321" s="188"/>
    </row>
    <row r="322" spans="1:5" ht="12.75">
      <c r="A322" s="16"/>
      <c r="B322" s="26" t="s">
        <v>487</v>
      </c>
      <c r="C322" s="17"/>
      <c r="D322" s="76">
        <v>0.25</v>
      </c>
      <c r="E322" s="69">
        <v>0.25</v>
      </c>
    </row>
    <row r="323" spans="1:5" ht="12.75">
      <c r="A323" s="16"/>
      <c r="B323" s="26"/>
      <c r="C323" s="17"/>
      <c r="D323" s="17"/>
      <c r="E323" s="18"/>
    </row>
    <row r="324" spans="1:43" ht="12.75">
      <c r="A324" s="16"/>
      <c r="B324" s="48" t="s">
        <v>488</v>
      </c>
      <c r="C324" s="17"/>
      <c r="D324" s="74">
        <v>10</v>
      </c>
      <c r="E324" s="75">
        <v>10</v>
      </c>
      <c r="F324" s="189"/>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row>
    <row r="325" spans="1:6" ht="12.75">
      <c r="A325" s="16"/>
      <c r="B325" s="17"/>
      <c r="C325" s="17"/>
      <c r="D325" s="11"/>
      <c r="E325" s="166"/>
      <c r="F325" s="48"/>
    </row>
    <row r="326" spans="1:43" ht="12.75">
      <c r="A326" s="16"/>
      <c r="B326" s="48" t="s">
        <v>515</v>
      </c>
      <c r="C326" s="17"/>
      <c r="D326" s="86">
        <v>200</v>
      </c>
      <c r="E326" s="87">
        <v>300</v>
      </c>
      <c r="F326" s="190"/>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row>
    <row r="327" spans="1:5" ht="12.75">
      <c r="A327" s="16"/>
      <c r="B327" s="26"/>
      <c r="C327" s="17"/>
      <c r="D327" s="23"/>
      <c r="E327" s="112"/>
    </row>
    <row r="328" spans="1:43" ht="12.75">
      <c r="A328" s="16"/>
      <c r="B328" s="48" t="s">
        <v>516</v>
      </c>
      <c r="C328" s="17"/>
      <c r="D328" s="84">
        <v>500</v>
      </c>
      <c r="E328" s="85">
        <v>500</v>
      </c>
      <c r="F328" s="182"/>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row>
    <row r="329" spans="1:5" ht="12.75">
      <c r="A329" s="16"/>
      <c r="B329" s="26"/>
      <c r="C329" s="11"/>
      <c r="D329" s="11"/>
      <c r="E329" s="166"/>
    </row>
    <row r="330" spans="1:5" ht="13.5" thickBot="1">
      <c r="A330" s="19"/>
      <c r="B330" s="20"/>
      <c r="C330" s="20"/>
      <c r="D330" s="20"/>
      <c r="E330" s="21"/>
    </row>
    <row r="332" spans="3:5" ht="12.75">
      <c r="C332" s="169" t="s">
        <v>319</v>
      </c>
      <c r="D332" s="169" t="s">
        <v>320</v>
      </c>
      <c r="E332" s="169" t="s">
        <v>321</v>
      </c>
    </row>
    <row r="334" spans="1:43" ht="12.75">
      <c r="A334" s="25" t="s">
        <v>284</v>
      </c>
      <c r="C334" s="23"/>
      <c r="D334" s="23">
        <f>D335+D336</f>
        <v>112500</v>
      </c>
      <c r="E334" s="23">
        <f>E335+E336</f>
        <v>175000</v>
      </c>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row>
    <row r="335" spans="2:43" ht="12.75">
      <c r="B335" s="25" t="s">
        <v>517</v>
      </c>
      <c r="C335" s="23"/>
      <c r="D335" s="23">
        <f>(D320*D321*D322)*D324</f>
        <v>12500</v>
      </c>
      <c r="E335" s="23">
        <f>(E320*E321*E322)*E324</f>
        <v>25000</v>
      </c>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row>
    <row r="336" spans="2:43" ht="12.75">
      <c r="B336" s="25" t="s">
        <v>518</v>
      </c>
      <c r="C336" s="23"/>
      <c r="D336" s="23">
        <f>(D326*D328)</f>
        <v>100000</v>
      </c>
      <c r="E336" s="23">
        <f>(E326*E328)</f>
        <v>150000</v>
      </c>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R275"/>
  <sheetViews>
    <sheetView zoomScale="110" zoomScaleNormal="110" workbookViewId="0" topLeftCell="B7">
      <selection activeCell="L40" sqref="L40"/>
    </sheetView>
  </sheetViews>
  <sheetFormatPr defaultColWidth="8.8515625" defaultRowHeight="12.75"/>
  <cols>
    <col min="1" max="1" width="4.28125" style="25" customWidth="1"/>
    <col min="2" max="2" width="3.7109375" style="25" customWidth="1"/>
    <col min="3" max="3" width="31.7109375" style="25" customWidth="1"/>
    <col min="4" max="5" width="11.8515625" style="25" customWidth="1"/>
    <col min="6" max="6" width="13.28125" style="25" customWidth="1"/>
    <col min="7" max="7" width="12.8515625" style="25" customWidth="1"/>
    <col min="8" max="8" width="1.7109375" style="25" customWidth="1"/>
    <col min="9" max="9" width="11.00390625" style="25" customWidth="1"/>
    <col min="10" max="14" width="12.140625" style="25" customWidth="1"/>
    <col min="15" max="44" width="13.7109375" style="25" customWidth="1"/>
    <col min="45" max="16384" width="11.421875" style="25" customWidth="1"/>
  </cols>
  <sheetData>
    <row r="1" ht="13.5" thickBot="1">
      <c r="A1" s="26"/>
    </row>
    <row r="2" spans="1:10" ht="12.75">
      <c r="A2" s="48"/>
      <c r="B2" s="270" t="s">
        <v>523</v>
      </c>
      <c r="C2" s="231"/>
      <c r="D2" s="328" t="s">
        <v>319</v>
      </c>
      <c r="E2" s="328" t="s">
        <v>320</v>
      </c>
      <c r="F2" s="328" t="s">
        <v>321</v>
      </c>
      <c r="G2" s="328" t="s">
        <v>330</v>
      </c>
      <c r="H2" s="231"/>
      <c r="I2" s="231"/>
      <c r="J2" s="232"/>
    </row>
    <row r="3" spans="1:10" ht="12.75">
      <c r="A3" s="48"/>
      <c r="B3" s="32"/>
      <c r="C3" s="26"/>
      <c r="D3" s="26"/>
      <c r="E3" s="26"/>
      <c r="F3" s="26"/>
      <c r="G3" s="26"/>
      <c r="H3" s="26"/>
      <c r="I3" s="26"/>
      <c r="J3" s="108"/>
    </row>
    <row r="4" spans="1:10" ht="12.75">
      <c r="A4" s="48"/>
      <c r="B4" s="32" t="s">
        <v>274</v>
      </c>
      <c r="C4" s="26"/>
      <c r="D4" s="153">
        <f>D47</f>
        <v>5000</v>
      </c>
      <c r="E4" s="153">
        <f>E47</f>
        <v>0</v>
      </c>
      <c r="F4" s="153">
        <f>F47</f>
        <v>0</v>
      </c>
      <c r="G4" s="26" t="str">
        <f>'Revenue - B-to-C'!F4</f>
        <v>year 1 launch</v>
      </c>
      <c r="H4" s="26"/>
      <c r="I4" s="26"/>
      <c r="J4" s="108"/>
    </row>
    <row r="5" spans="1:10" ht="12.75">
      <c r="A5" s="48"/>
      <c r="B5" s="32"/>
      <c r="C5" s="26"/>
      <c r="D5" s="26"/>
      <c r="E5" s="26"/>
      <c r="F5" s="26"/>
      <c r="G5" s="26"/>
      <c r="H5" s="26"/>
      <c r="I5" s="26"/>
      <c r="J5" s="108"/>
    </row>
    <row r="6" spans="1:10" ht="12.75">
      <c r="A6" s="48"/>
      <c r="B6" s="32" t="s">
        <v>275</v>
      </c>
      <c r="C6" s="26"/>
      <c r="D6" s="23">
        <f>D73</f>
        <v>258800</v>
      </c>
      <c r="E6" s="23">
        <f>E73</f>
        <v>254300</v>
      </c>
      <c r="F6" s="23">
        <f>F73</f>
        <v>254810</v>
      </c>
      <c r="G6" s="26" t="str">
        <f>'Revenue - B-to-C'!F6</f>
        <v>year 1 launch</v>
      </c>
      <c r="H6" s="26"/>
      <c r="I6" s="26"/>
      <c r="J6" s="108"/>
    </row>
    <row r="7" spans="1:10" ht="12.75">
      <c r="A7" s="48"/>
      <c r="B7" s="32"/>
      <c r="C7" s="26"/>
      <c r="D7" s="37"/>
      <c r="E7" s="37"/>
      <c r="F7" s="37"/>
      <c r="G7" s="26"/>
      <c r="H7" s="26"/>
      <c r="I7" s="26"/>
      <c r="J7" s="108"/>
    </row>
    <row r="8" spans="1:10" ht="12.75">
      <c r="A8" s="48"/>
      <c r="B8" s="32" t="s">
        <v>276</v>
      </c>
      <c r="C8" s="156"/>
      <c r="D8" s="23">
        <f>D98</f>
        <v>130000</v>
      </c>
      <c r="E8" s="23">
        <f>E98</f>
        <v>186000</v>
      </c>
      <c r="F8" s="23">
        <f>F98</f>
        <v>219320</v>
      </c>
      <c r="G8" s="26" t="str">
        <f>'Revenue - B-to-C'!F8</f>
        <v>year 1 launch</v>
      </c>
      <c r="H8" s="26"/>
      <c r="I8" s="26"/>
      <c r="J8" s="108"/>
    </row>
    <row r="9" spans="1:10" ht="12.75">
      <c r="A9" s="48"/>
      <c r="B9" s="32"/>
      <c r="C9" s="156"/>
      <c r="D9" s="26"/>
      <c r="E9" s="26"/>
      <c r="F9" s="26"/>
      <c r="G9" s="26"/>
      <c r="H9" s="26"/>
      <c r="I9" s="26"/>
      <c r="J9" s="108"/>
    </row>
    <row r="10" spans="1:10" ht="12.75">
      <c r="A10" s="48"/>
      <c r="B10" s="32" t="s">
        <v>277</v>
      </c>
      <c r="C10" s="26"/>
      <c r="D10" s="23">
        <f>D117</f>
        <v>8000</v>
      </c>
      <c r="E10" s="23">
        <f>E117</f>
        <v>3000</v>
      </c>
      <c r="F10" s="23">
        <f>F117</f>
        <v>3000</v>
      </c>
      <c r="G10" s="26" t="str">
        <f>'Revenue - B-to-C'!F10</f>
        <v>year 1 launch</v>
      </c>
      <c r="H10" s="26"/>
      <c r="I10" s="26"/>
      <c r="J10" s="108"/>
    </row>
    <row r="11" spans="1:10" ht="12.75">
      <c r="A11" s="48"/>
      <c r="B11" s="32"/>
      <c r="C11" s="26"/>
      <c r="D11" s="23"/>
      <c r="E11" s="23"/>
      <c r="F11" s="23"/>
      <c r="G11" s="26"/>
      <c r="H11" s="26"/>
      <c r="I11" s="26"/>
      <c r="J11" s="108"/>
    </row>
    <row r="12" spans="1:10" ht="12.75">
      <c r="A12" s="48"/>
      <c r="B12" s="32" t="s">
        <v>278</v>
      </c>
      <c r="C12" s="26"/>
      <c r="D12" s="23">
        <f>D135</f>
        <v>2000</v>
      </c>
      <c r="E12" s="23">
        <f>E135</f>
        <v>0</v>
      </c>
      <c r="F12" s="23">
        <f>F135</f>
        <v>0</v>
      </c>
      <c r="G12" s="26" t="str">
        <f>'Revenue - B-to-C'!F12</f>
        <v>year 1 launch</v>
      </c>
      <c r="H12" s="26"/>
      <c r="I12" s="26"/>
      <c r="J12" s="108"/>
    </row>
    <row r="13" spans="1:10" ht="12.75">
      <c r="A13" s="48"/>
      <c r="B13" s="32"/>
      <c r="C13" s="26"/>
      <c r="D13" s="23"/>
      <c r="E13" s="23"/>
      <c r="F13" s="23"/>
      <c r="G13" s="26"/>
      <c r="H13" s="26"/>
      <c r="I13" s="26"/>
      <c r="J13" s="108"/>
    </row>
    <row r="14" spans="1:10" ht="12.75">
      <c r="A14" s="48"/>
      <c r="B14" s="32" t="s">
        <v>279</v>
      </c>
      <c r="C14" s="26"/>
      <c r="D14" s="23">
        <f>D151</f>
        <v>0</v>
      </c>
      <c r="E14" s="23">
        <f>E151</f>
        <v>0</v>
      </c>
      <c r="F14" s="23">
        <f>F151</f>
        <v>0</v>
      </c>
      <c r="G14" s="26" t="str">
        <f>'Revenue - B-to-C'!F14</f>
        <v>year 1 launch</v>
      </c>
      <c r="H14" s="26"/>
      <c r="I14" s="26"/>
      <c r="J14" s="108"/>
    </row>
    <row r="15" spans="1:10" ht="12.75">
      <c r="A15" s="48"/>
      <c r="B15" s="32"/>
      <c r="C15" s="26"/>
      <c r="D15" s="23"/>
      <c r="E15" s="23"/>
      <c r="F15" s="23"/>
      <c r="G15" s="26"/>
      <c r="H15" s="26"/>
      <c r="I15" s="26"/>
      <c r="J15" s="108"/>
    </row>
    <row r="16" spans="1:10" ht="12.75">
      <c r="A16" s="48"/>
      <c r="B16" s="32" t="s">
        <v>280</v>
      </c>
      <c r="C16" s="26"/>
      <c r="D16" s="23">
        <f>D175</f>
        <v>0</v>
      </c>
      <c r="E16" s="23">
        <f>E175</f>
        <v>69387.5</v>
      </c>
      <c r="F16" s="23">
        <f>F175</f>
        <v>66675.25</v>
      </c>
      <c r="G16" s="26" t="str">
        <f>'Revenue - B-to-C'!F16</f>
        <v>year 2 launch</v>
      </c>
      <c r="H16" s="26"/>
      <c r="I16" s="26"/>
      <c r="J16" s="108"/>
    </row>
    <row r="17" spans="1:10" ht="12.75">
      <c r="A17" s="48"/>
      <c r="B17" s="32"/>
      <c r="C17" s="156"/>
      <c r="D17" s="26"/>
      <c r="E17" s="26"/>
      <c r="F17" s="26"/>
      <c r="G17" s="26"/>
      <c r="H17" s="26"/>
      <c r="I17" s="26"/>
      <c r="J17" s="108"/>
    </row>
    <row r="18" spans="1:10" ht="12.75">
      <c r="A18" s="48"/>
      <c r="B18" s="32" t="s">
        <v>281</v>
      </c>
      <c r="C18" s="26"/>
      <c r="D18" s="23">
        <f>D193</f>
        <v>0</v>
      </c>
      <c r="E18" s="23">
        <f>E193</f>
        <v>5000</v>
      </c>
      <c r="F18" s="23">
        <f>F193</f>
        <v>0</v>
      </c>
      <c r="G18" s="26" t="str">
        <f>'Revenue - B-to-C'!F18</f>
        <v>year 2 launch</v>
      </c>
      <c r="H18" s="26"/>
      <c r="I18" s="26"/>
      <c r="J18" s="108"/>
    </row>
    <row r="19" spans="1:10" ht="12.75">
      <c r="A19" s="48"/>
      <c r="B19" s="32"/>
      <c r="C19" s="26"/>
      <c r="D19" s="23"/>
      <c r="E19" s="23"/>
      <c r="F19" s="23"/>
      <c r="G19" s="26"/>
      <c r="H19" s="26"/>
      <c r="I19" s="26"/>
      <c r="J19" s="108"/>
    </row>
    <row r="20" spans="1:10" ht="12.75">
      <c r="A20" s="48"/>
      <c r="B20" s="32" t="s">
        <v>282</v>
      </c>
      <c r="C20" s="26"/>
      <c r="D20" s="23">
        <f>D235</f>
        <v>0</v>
      </c>
      <c r="E20" s="23">
        <f>E235</f>
        <v>1135541.375</v>
      </c>
      <c r="F20" s="23">
        <f>F235</f>
        <v>2743617.0796875</v>
      </c>
      <c r="G20" s="26" t="str">
        <f>'Revenue - B-to-C'!F20</f>
        <v>year 2 launch</v>
      </c>
      <c r="H20" s="26"/>
      <c r="I20" s="26"/>
      <c r="J20" s="108"/>
    </row>
    <row r="21" spans="1:10" ht="12.75">
      <c r="A21" s="48"/>
      <c r="B21" s="32"/>
      <c r="C21" s="156"/>
      <c r="D21" s="26"/>
      <c r="E21" s="26"/>
      <c r="F21" s="26"/>
      <c r="G21" s="26"/>
      <c r="H21" s="26"/>
      <c r="I21" s="26"/>
      <c r="J21" s="108"/>
    </row>
    <row r="22" spans="1:10" ht="12.75">
      <c r="A22" s="48"/>
      <c r="B22" s="32" t="s">
        <v>283</v>
      </c>
      <c r="C22" s="156"/>
      <c r="D22" s="153">
        <f>D251</f>
        <v>0</v>
      </c>
      <c r="E22" s="153">
        <f>E251</f>
        <v>35000</v>
      </c>
      <c r="F22" s="153">
        <f>F251</f>
        <v>10000</v>
      </c>
      <c r="G22" s="26" t="str">
        <f>'Revenue - B-to-C'!F22</f>
        <v>year 2 launch</v>
      </c>
      <c r="H22" s="26"/>
      <c r="I22" s="26"/>
      <c r="J22" s="108"/>
    </row>
    <row r="23" spans="1:10" ht="12.75">
      <c r="A23" s="48"/>
      <c r="B23" s="32"/>
      <c r="C23" s="156"/>
      <c r="D23" s="26"/>
      <c r="E23" s="26"/>
      <c r="F23" s="26"/>
      <c r="G23" s="26"/>
      <c r="H23" s="26"/>
      <c r="I23" s="26"/>
      <c r="J23" s="108"/>
    </row>
    <row r="24" spans="1:10" ht="12.75">
      <c r="A24" s="48"/>
      <c r="B24" s="32" t="s">
        <v>284</v>
      </c>
      <c r="C24" s="26"/>
      <c r="D24" s="23">
        <f>D269</f>
        <v>0</v>
      </c>
      <c r="E24" s="23">
        <f>E269</f>
        <v>0</v>
      </c>
      <c r="F24" s="23">
        <f>F269</f>
        <v>0</v>
      </c>
      <c r="G24" s="26" t="str">
        <f>'Revenue - B-to-C'!F24</f>
        <v>High cost of data collection</v>
      </c>
      <c r="H24" s="26"/>
      <c r="I24" s="26"/>
      <c r="J24" s="108"/>
    </row>
    <row r="25" spans="1:10" ht="12.75">
      <c r="A25" s="48"/>
      <c r="B25" s="32"/>
      <c r="C25" s="26"/>
      <c r="D25" s="37"/>
      <c r="E25" s="47"/>
      <c r="F25" s="47"/>
      <c r="G25" s="26"/>
      <c r="H25" s="26"/>
      <c r="I25" s="26"/>
      <c r="J25" s="108"/>
    </row>
    <row r="26" spans="1:10" ht="13.5" thickBot="1">
      <c r="A26" s="48"/>
      <c r="B26" s="159"/>
      <c r="C26" s="160"/>
      <c r="D26" s="138"/>
      <c r="E26" s="138"/>
      <c r="F26" s="138"/>
      <c r="G26" s="138"/>
      <c r="H26" s="138"/>
      <c r="I26" s="138"/>
      <c r="J26" s="161"/>
    </row>
    <row r="27" spans="1:10" ht="12.75">
      <c r="A27" s="48"/>
      <c r="B27" s="32"/>
      <c r="C27" s="26"/>
      <c r="D27" s="26"/>
      <c r="E27" s="26"/>
      <c r="F27" s="26"/>
      <c r="G27" s="26"/>
      <c r="H27" s="26"/>
      <c r="I27" s="26"/>
      <c r="J27" s="108"/>
    </row>
    <row r="28" spans="1:10" ht="12.75">
      <c r="A28" s="48"/>
      <c r="B28" s="162" t="s">
        <v>147</v>
      </c>
      <c r="C28" s="26"/>
      <c r="D28" s="23">
        <f>SUM(D4:D25)</f>
        <v>403800</v>
      </c>
      <c r="E28" s="23">
        <f>SUM(E4:E25)</f>
        <v>1688228.875</v>
      </c>
      <c r="F28" s="23">
        <f>SUM(F4:F25)</f>
        <v>3297422.3296875</v>
      </c>
      <c r="G28" s="26"/>
      <c r="H28" s="26"/>
      <c r="I28" s="26"/>
      <c r="J28" s="108"/>
    </row>
    <row r="29" spans="1:10" ht="13.5" thickBot="1">
      <c r="A29" s="48"/>
      <c r="B29" s="19"/>
      <c r="C29" s="137"/>
      <c r="D29" s="138"/>
      <c r="E29" s="139"/>
      <c r="F29" s="139"/>
      <c r="G29" s="139"/>
      <c r="H29" s="138"/>
      <c r="I29" s="138"/>
      <c r="J29" s="161"/>
    </row>
    <row r="30" spans="1:7" ht="12.75">
      <c r="A30" s="48"/>
      <c r="B30" s="48"/>
      <c r="C30" s="55"/>
      <c r="E30" s="132"/>
      <c r="F30" s="141"/>
      <c r="G30" s="132"/>
    </row>
    <row r="31" spans="1:7" ht="12.75">
      <c r="A31" s="48"/>
      <c r="B31" s="48"/>
      <c r="C31" s="55"/>
      <c r="E31" s="132"/>
      <c r="F31" s="141"/>
      <c r="G31" s="132"/>
    </row>
    <row r="32" spans="1:7" ht="12.75">
      <c r="A32" s="48"/>
      <c r="B32" s="48"/>
      <c r="C32" s="55"/>
      <c r="E32" s="132"/>
      <c r="F32" s="141"/>
      <c r="G32" s="132"/>
    </row>
    <row r="33" ht="12.75">
      <c r="A33" s="99" t="s">
        <v>219</v>
      </c>
    </row>
    <row r="34" spans="1:2" ht="12.75">
      <c r="A34" s="99"/>
      <c r="B34" s="25" t="s">
        <v>220</v>
      </c>
    </row>
    <row r="35" spans="1:2" ht="12.75">
      <c r="A35" s="99"/>
      <c r="B35" s="164" t="s">
        <v>221</v>
      </c>
    </row>
    <row r="36" ht="13.5" thickBot="1"/>
    <row r="37" spans="2:6" ht="12.75">
      <c r="B37" s="70" t="s">
        <v>197</v>
      </c>
      <c r="C37" s="71"/>
      <c r="D37" s="71"/>
      <c r="E37" s="71"/>
      <c r="F37" s="331"/>
    </row>
    <row r="38" spans="2:6" ht="12.75">
      <c r="B38" s="16"/>
      <c r="C38" s="48"/>
      <c r="D38" s="55" t="s">
        <v>319</v>
      </c>
      <c r="E38" s="55" t="s">
        <v>320</v>
      </c>
      <c r="F38" s="130" t="s">
        <v>321</v>
      </c>
    </row>
    <row r="39" spans="2:7" ht="12.75">
      <c r="B39" s="16"/>
      <c r="C39" s="165" t="s">
        <v>524</v>
      </c>
      <c r="D39" s="147">
        <v>5000</v>
      </c>
      <c r="E39" s="191"/>
      <c r="F39" s="192"/>
      <c r="G39" s="25" t="s">
        <v>525</v>
      </c>
    </row>
    <row r="40" spans="2:6" ht="12.75">
      <c r="B40" s="16"/>
      <c r="C40" s="17"/>
      <c r="D40" s="173"/>
      <c r="E40" s="173"/>
      <c r="F40" s="174"/>
    </row>
    <row r="41" spans="2:6" ht="12.75">
      <c r="B41" s="16"/>
      <c r="C41" s="17" t="s">
        <v>526</v>
      </c>
      <c r="D41" s="86">
        <v>0</v>
      </c>
      <c r="E41" s="86">
        <v>0</v>
      </c>
      <c r="F41" s="87">
        <v>0</v>
      </c>
    </row>
    <row r="42" spans="2:6" ht="12.75">
      <c r="B42" s="16"/>
      <c r="C42" s="17"/>
      <c r="D42" s="12"/>
      <c r="E42" s="12"/>
      <c r="F42" s="168"/>
    </row>
    <row r="43" spans="2:6" ht="13.5" thickBot="1">
      <c r="B43" s="19"/>
      <c r="C43" s="20"/>
      <c r="D43" s="20"/>
      <c r="E43" s="20"/>
      <c r="F43" s="21"/>
    </row>
    <row r="45" spans="4:6" ht="12.75">
      <c r="D45" s="169" t="s">
        <v>319</v>
      </c>
      <c r="E45" s="169" t="s">
        <v>320</v>
      </c>
      <c r="F45" s="169" t="s">
        <v>321</v>
      </c>
    </row>
    <row r="47" spans="2:6" ht="12.75">
      <c r="B47" s="25" t="s">
        <v>274</v>
      </c>
      <c r="D47" s="23">
        <f>D41+D39</f>
        <v>5000</v>
      </c>
      <c r="E47" s="23">
        <f>E41</f>
        <v>0</v>
      </c>
      <c r="F47" s="23">
        <f>F41</f>
        <v>0</v>
      </c>
    </row>
    <row r="51" ht="12.75">
      <c r="A51" s="99" t="s">
        <v>227</v>
      </c>
    </row>
    <row r="52" spans="1:2" ht="12.75">
      <c r="A52" s="99"/>
      <c r="B52" s="25" t="s">
        <v>105</v>
      </c>
    </row>
    <row r="53" spans="1:2" ht="12.75">
      <c r="A53" s="99"/>
      <c r="B53" s="164" t="s">
        <v>106</v>
      </c>
    </row>
    <row r="54" ht="13.5" thickBot="1"/>
    <row r="55" spans="2:8" ht="12.75">
      <c r="B55" s="70" t="s">
        <v>197</v>
      </c>
      <c r="C55" s="71"/>
      <c r="D55" s="71"/>
      <c r="E55" s="71"/>
      <c r="F55" s="331"/>
      <c r="H55" s="164"/>
    </row>
    <row r="56" spans="2:6" ht="12.75">
      <c r="B56" s="16"/>
      <c r="C56" s="48"/>
      <c r="D56" s="55" t="s">
        <v>319</v>
      </c>
      <c r="E56" s="55" t="s">
        <v>320</v>
      </c>
      <c r="F56" s="130" t="s">
        <v>321</v>
      </c>
    </row>
    <row r="57" spans="2:7" ht="12.75">
      <c r="B57" s="16"/>
      <c r="C57" s="48" t="s">
        <v>524</v>
      </c>
      <c r="D57" s="84">
        <v>5000</v>
      </c>
      <c r="E57" s="17"/>
      <c r="F57" s="18"/>
      <c r="G57" s="25" t="s">
        <v>527</v>
      </c>
    </row>
    <row r="58" spans="2:8" ht="12.75">
      <c r="B58" s="16"/>
      <c r="C58" s="48"/>
      <c r="D58" s="17"/>
      <c r="E58" s="17"/>
      <c r="F58" s="18"/>
      <c r="H58" s="164"/>
    </row>
    <row r="59" spans="2:8" ht="12.75">
      <c r="B59" s="16"/>
      <c r="C59" s="48" t="s">
        <v>528</v>
      </c>
      <c r="D59" s="183">
        <f>Staffing!K100</f>
        <v>25000</v>
      </c>
      <c r="E59" s="183">
        <f>Staffing!L100</f>
        <v>25500</v>
      </c>
      <c r="F59" s="184">
        <f>Staffing!M100</f>
        <v>26010</v>
      </c>
      <c r="H59" s="164"/>
    </row>
    <row r="60" spans="2:8" ht="12.75">
      <c r="B60" s="16"/>
      <c r="C60" s="48"/>
      <c r="D60" s="17"/>
      <c r="E60" s="17"/>
      <c r="F60" s="18"/>
      <c r="H60" s="164"/>
    </row>
    <row r="61" spans="2:6" ht="12.75">
      <c r="B61" s="16"/>
      <c r="C61" s="17" t="s">
        <v>529</v>
      </c>
      <c r="D61" s="76">
        <v>0.3</v>
      </c>
      <c r="E61" s="76">
        <v>0.3</v>
      </c>
      <c r="F61" s="69">
        <v>0.3</v>
      </c>
    </row>
    <row r="62" spans="2:6" ht="12.75">
      <c r="B62" s="16"/>
      <c r="C62" s="17" t="s">
        <v>530</v>
      </c>
      <c r="D62" s="183">
        <f>D61*('Revenue - B-to-C'!C65*'Revenue - B-to-C'!C66*'Revenue - B-to-C'!C67)</f>
        <v>31200</v>
      </c>
      <c r="E62" s="183">
        <f>E61*('Revenue - B-to-C'!D65*'Revenue - B-to-C'!D66*'Revenue - B-to-C'!D67)</f>
        <v>31200</v>
      </c>
      <c r="F62" s="184">
        <f>F61*('Revenue - B-to-C'!E65*'Revenue - B-to-C'!E66*'Revenue - B-to-C'!E67)</f>
        <v>31200</v>
      </c>
    </row>
    <row r="63" spans="2:6" ht="12.75">
      <c r="B63" s="16"/>
      <c r="C63" s="17"/>
      <c r="D63" s="17"/>
      <c r="E63" s="17"/>
      <c r="F63" s="18"/>
    </row>
    <row r="64" spans="2:8" ht="12.75">
      <c r="B64" s="16"/>
      <c r="C64" s="17" t="s">
        <v>531</v>
      </c>
      <c r="D64" s="84">
        <v>6000</v>
      </c>
      <c r="E64" s="84">
        <v>6000</v>
      </c>
      <c r="F64" s="85">
        <v>6000</v>
      </c>
      <c r="G64" s="25" t="s">
        <v>532</v>
      </c>
      <c r="H64" s="164"/>
    </row>
    <row r="65" spans="2:8" ht="12.75">
      <c r="B65" s="16"/>
      <c r="C65" s="17"/>
      <c r="D65" s="17"/>
      <c r="E65" s="17"/>
      <c r="F65" s="18"/>
      <c r="H65" s="164"/>
    </row>
    <row r="66" spans="2:8" ht="12.75">
      <c r="B66" s="16"/>
      <c r="C66" s="48" t="s">
        <v>533</v>
      </c>
      <c r="D66" s="84">
        <v>15000</v>
      </c>
      <c r="E66" s="84">
        <v>15000</v>
      </c>
      <c r="F66" s="85">
        <v>15000</v>
      </c>
      <c r="H66" s="164"/>
    </row>
    <row r="67" spans="2:8" ht="12.75">
      <c r="B67" s="16"/>
      <c r="C67" s="17" t="s">
        <v>534</v>
      </c>
      <c r="D67" s="84">
        <v>5000</v>
      </c>
      <c r="E67" s="84">
        <v>5000</v>
      </c>
      <c r="F67" s="85">
        <v>5000</v>
      </c>
      <c r="G67" s="25" t="s">
        <v>535</v>
      </c>
      <c r="H67" s="164"/>
    </row>
    <row r="68" spans="2:6" ht="12.75">
      <c r="B68" s="16"/>
      <c r="C68" s="17"/>
      <c r="D68" s="17"/>
      <c r="E68" s="17"/>
      <c r="F68" s="18"/>
    </row>
    <row r="69" spans="2:6" ht="13.5" thickBot="1">
      <c r="B69" s="19"/>
      <c r="C69" s="20"/>
      <c r="D69" s="20"/>
      <c r="E69" s="20"/>
      <c r="F69" s="21"/>
    </row>
    <row r="71" spans="4:6" ht="12.75">
      <c r="D71" s="169" t="s">
        <v>319</v>
      </c>
      <c r="E71" s="169" t="s">
        <v>320</v>
      </c>
      <c r="F71" s="169" t="s">
        <v>321</v>
      </c>
    </row>
    <row r="72" ht="12.75">
      <c r="B72" s="99"/>
    </row>
    <row r="73" spans="2:43" ht="12.75">
      <c r="B73" s="25" t="s">
        <v>112</v>
      </c>
      <c r="D73" s="23">
        <f>((D62+D64+D66+D67)*'Revenue - B-to-C'!C62)+D59+D57</f>
        <v>258800</v>
      </c>
      <c r="E73" s="23">
        <f>((E62+E64+E66+E67)*'Revenue - B-to-C'!D62)+E59</f>
        <v>254300</v>
      </c>
      <c r="F73" s="23">
        <f>((F62+F64+F66+F67)*'Revenue - B-to-C'!E62)+F59</f>
        <v>254810</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row>
    <row r="74" spans="1:3" ht="12.75">
      <c r="A74" s="99"/>
      <c r="C74" s="136"/>
    </row>
    <row r="77" ht="12.75">
      <c r="A77" s="99" t="s">
        <v>113</v>
      </c>
    </row>
    <row r="78" spans="1:2" ht="12.75">
      <c r="A78" s="171"/>
      <c r="B78" s="25" t="s">
        <v>12</v>
      </c>
    </row>
    <row r="79" spans="1:2" ht="12.75">
      <c r="A79" s="171"/>
      <c r="B79" s="164" t="s">
        <v>13</v>
      </c>
    </row>
    <row r="80" spans="1:2" ht="12.75">
      <c r="A80" s="171"/>
      <c r="B80" s="164" t="s">
        <v>14</v>
      </c>
    </row>
    <row r="81" ht="13.5" thickBot="1">
      <c r="A81" s="171"/>
    </row>
    <row r="82" spans="2:6" ht="12.75">
      <c r="B82" s="70" t="s">
        <v>197</v>
      </c>
      <c r="C82" s="71"/>
      <c r="D82" s="71"/>
      <c r="E82" s="71"/>
      <c r="F82" s="331"/>
    </row>
    <row r="83" spans="2:6" ht="12.75">
      <c r="B83" s="16"/>
      <c r="C83" s="48"/>
      <c r="D83" s="55" t="s">
        <v>319</v>
      </c>
      <c r="E83" s="55" t="s">
        <v>320</v>
      </c>
      <c r="F83" s="130" t="s">
        <v>321</v>
      </c>
    </row>
    <row r="84" spans="2:6" ht="12.75">
      <c r="B84" s="16"/>
      <c r="C84" s="48" t="s">
        <v>524</v>
      </c>
      <c r="D84" s="84">
        <v>5000</v>
      </c>
      <c r="E84" s="84">
        <v>5000</v>
      </c>
      <c r="F84" s="85">
        <v>5000</v>
      </c>
    </row>
    <row r="85" spans="2:6" ht="12.75">
      <c r="B85" s="16"/>
      <c r="C85" s="26"/>
      <c r="D85" s="23"/>
      <c r="E85" s="23"/>
      <c r="F85" s="112"/>
    </row>
    <row r="86" spans="2:6" ht="12.75">
      <c r="B86" s="16"/>
      <c r="C86" s="26" t="s">
        <v>528</v>
      </c>
      <c r="D86" s="23">
        <f>Staffing!K106</f>
        <v>50000</v>
      </c>
      <c r="E86" s="23">
        <f>Staffing!L106</f>
        <v>51000</v>
      </c>
      <c r="F86" s="184">
        <f>Staffing!M106</f>
        <v>52020</v>
      </c>
    </row>
    <row r="87" spans="2:6" ht="12.75">
      <c r="B87" s="16"/>
      <c r="C87" s="26"/>
      <c r="D87" s="23"/>
      <c r="E87" s="23"/>
      <c r="F87" s="112"/>
    </row>
    <row r="88" spans="2:9" ht="12.75">
      <c r="B88" s="179">
        <v>0.05</v>
      </c>
      <c r="C88" s="48" t="s">
        <v>536</v>
      </c>
      <c r="D88" s="84">
        <v>10000</v>
      </c>
      <c r="E88" s="183">
        <f>D88*(1+B88)</f>
        <v>10500</v>
      </c>
      <c r="F88" s="184">
        <f>E88*(1+B88)</f>
        <v>11025</v>
      </c>
      <c r="I88" s="170"/>
    </row>
    <row r="89" spans="2:9" ht="12.75">
      <c r="B89" s="179">
        <v>0.05</v>
      </c>
      <c r="C89" s="48" t="s">
        <v>537</v>
      </c>
      <c r="D89" s="84">
        <v>10000</v>
      </c>
      <c r="E89" s="183">
        <f>D89*(1+B89)</f>
        <v>10500</v>
      </c>
      <c r="F89" s="184">
        <f>E89*(1+B89)</f>
        <v>11025</v>
      </c>
      <c r="I89" s="170"/>
    </row>
    <row r="90" spans="2:6" ht="12.75">
      <c r="B90" s="16"/>
      <c r="C90" s="165"/>
      <c r="D90" s="23"/>
      <c r="E90" s="23"/>
      <c r="F90" s="112"/>
    </row>
    <row r="91" spans="2:6" ht="12.75">
      <c r="B91" s="16"/>
      <c r="C91" s="165" t="s">
        <v>538</v>
      </c>
      <c r="D91" s="76">
        <v>0.2</v>
      </c>
      <c r="E91" s="76">
        <v>0.2</v>
      </c>
      <c r="F91" s="69">
        <v>0.2</v>
      </c>
    </row>
    <row r="92" spans="2:6" ht="12.75">
      <c r="B92" s="16"/>
      <c r="C92" s="165" t="s">
        <v>539</v>
      </c>
      <c r="D92" s="23">
        <f>D91*('Revenue - B-to-C'!C91*'Revenue - B-to-C'!C95)</f>
        <v>5000</v>
      </c>
      <c r="E92" s="23">
        <f>E91*('Revenue - B-to-C'!D91*'Revenue - B-to-C'!D95)</f>
        <v>5000</v>
      </c>
      <c r="F92" s="184">
        <f>F91*('Revenue - B-to-C'!E91*'Revenue - B-to-C'!E95)</f>
        <v>5000</v>
      </c>
    </row>
    <row r="93" spans="2:6" ht="12.75">
      <c r="B93" s="16"/>
      <c r="C93" s="26"/>
      <c r="D93" s="11"/>
      <c r="E93" s="11"/>
      <c r="F93" s="166"/>
    </row>
    <row r="94" spans="2:6" ht="13.5" thickBot="1">
      <c r="B94" s="19"/>
      <c r="C94" s="20"/>
      <c r="D94" s="20"/>
      <c r="E94" s="20"/>
      <c r="F94" s="21"/>
    </row>
    <row r="95" ht="12.75">
      <c r="B95" s="171"/>
    </row>
    <row r="96" spans="4:6" ht="12.75">
      <c r="D96" s="169" t="s">
        <v>319</v>
      </c>
      <c r="E96" s="169" t="s">
        <v>320</v>
      </c>
      <c r="F96" s="169" t="s">
        <v>321</v>
      </c>
    </row>
    <row r="98" spans="2:43" ht="12.75">
      <c r="B98" s="25" t="s">
        <v>276</v>
      </c>
      <c r="D98" s="23">
        <f>D84+(D86+((D88+D89+D92)*'Revenue - B-to-C'!C90))</f>
        <v>130000</v>
      </c>
      <c r="E98" s="23">
        <f>E84+(E86+((E88+E89+E92)*'Revenue - B-to-C'!D90))</f>
        <v>186000</v>
      </c>
      <c r="F98" s="23">
        <f>F84+(F86+((F88+F89+F92)*'Revenue - B-to-C'!E90))</f>
        <v>219320</v>
      </c>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row>
    <row r="101" spans="3:43" ht="12.75">
      <c r="C101" s="172"/>
      <c r="D101" s="172"/>
      <c r="E101" s="172"/>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row>
    <row r="102" ht="12.75">
      <c r="A102" s="99" t="s">
        <v>26</v>
      </c>
    </row>
    <row r="103" spans="1:2" ht="12.75">
      <c r="A103" s="99"/>
      <c r="B103" s="25" t="s">
        <v>27</v>
      </c>
    </row>
    <row r="104" spans="1:2" ht="12.75">
      <c r="A104" s="99"/>
      <c r="B104" s="164" t="s">
        <v>28</v>
      </c>
    </row>
    <row r="105" spans="1:2" ht="12.75">
      <c r="A105" s="99"/>
      <c r="B105" s="164" t="s">
        <v>29</v>
      </c>
    </row>
    <row r="106" ht="13.5" thickBot="1"/>
    <row r="107" spans="2:6" ht="12.75">
      <c r="B107" s="70" t="s">
        <v>197</v>
      </c>
      <c r="C107" s="71"/>
      <c r="D107" s="71"/>
      <c r="E107" s="71"/>
      <c r="F107" s="331"/>
    </row>
    <row r="108" spans="2:6" ht="12.75">
      <c r="B108" s="16"/>
      <c r="C108" s="48"/>
      <c r="D108" s="55" t="s">
        <v>319</v>
      </c>
      <c r="E108" s="55" t="s">
        <v>320</v>
      </c>
      <c r="F108" s="130" t="s">
        <v>321</v>
      </c>
    </row>
    <row r="109" spans="2:6" ht="12.75">
      <c r="B109" s="16"/>
      <c r="C109" s="17" t="s">
        <v>524</v>
      </c>
      <c r="D109" s="84">
        <v>8000</v>
      </c>
      <c r="E109" s="173"/>
      <c r="F109" s="174"/>
    </row>
    <row r="110" spans="2:6" ht="12.75">
      <c r="B110" s="16"/>
      <c r="C110" s="17"/>
      <c r="D110" s="17"/>
      <c r="E110" s="17"/>
      <c r="F110" s="18"/>
    </row>
    <row r="111" spans="2:6" ht="12.75">
      <c r="B111" s="16"/>
      <c r="C111" s="17" t="s">
        <v>265</v>
      </c>
      <c r="D111" s="84">
        <v>0</v>
      </c>
      <c r="E111" s="84">
        <v>3000</v>
      </c>
      <c r="F111" s="85">
        <v>3000</v>
      </c>
    </row>
    <row r="112" spans="2:6" ht="12.75">
      <c r="B112" s="16"/>
      <c r="C112" s="17"/>
      <c r="D112" s="17"/>
      <c r="E112" s="17"/>
      <c r="F112" s="18"/>
    </row>
    <row r="113" spans="2:6" ht="13.5" thickBot="1">
      <c r="B113" s="19"/>
      <c r="C113" s="20"/>
      <c r="D113" s="20"/>
      <c r="E113" s="20"/>
      <c r="F113" s="21"/>
    </row>
    <row r="115" spans="4:6" ht="12.75">
      <c r="D115" s="169" t="s">
        <v>319</v>
      </c>
      <c r="E115" s="169" t="s">
        <v>320</v>
      </c>
      <c r="F115" s="169" t="s">
        <v>321</v>
      </c>
    </row>
    <row r="117" spans="2:43" ht="12.75">
      <c r="B117" s="25" t="s">
        <v>277</v>
      </c>
      <c r="D117" s="23">
        <f>D109+D111</f>
        <v>8000</v>
      </c>
      <c r="E117" s="23">
        <f>E111</f>
        <v>3000</v>
      </c>
      <c r="F117" s="23">
        <f>F111</f>
        <v>3000</v>
      </c>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row>
    <row r="121" ht="12.75">
      <c r="A121" s="99" t="s">
        <v>158</v>
      </c>
    </row>
    <row r="122" spans="1:2" ht="12.75">
      <c r="A122" s="99"/>
      <c r="B122" s="164" t="s">
        <v>159</v>
      </c>
    </row>
    <row r="123" spans="1:2" ht="12.75">
      <c r="A123" s="99"/>
      <c r="B123" s="164" t="s">
        <v>160</v>
      </c>
    </row>
    <row r="124" ht="13.5" thickBot="1"/>
    <row r="125" spans="2:6" ht="12.75">
      <c r="B125" s="70" t="s">
        <v>197</v>
      </c>
      <c r="C125" s="71"/>
      <c r="D125" s="71"/>
      <c r="E125" s="71"/>
      <c r="F125" s="331"/>
    </row>
    <row r="126" spans="2:6" ht="12.75">
      <c r="B126" s="16"/>
      <c r="C126" s="48"/>
      <c r="D126" s="55" t="s">
        <v>319</v>
      </c>
      <c r="E126" s="55" t="s">
        <v>320</v>
      </c>
      <c r="F126" s="130" t="s">
        <v>321</v>
      </c>
    </row>
    <row r="127" spans="2:6" ht="12.75">
      <c r="B127" s="16"/>
      <c r="C127" s="48" t="s">
        <v>524</v>
      </c>
      <c r="D127" s="84">
        <v>2000</v>
      </c>
      <c r="E127" s="17"/>
      <c r="F127" s="18"/>
    </row>
    <row r="128" spans="2:6" ht="12.75">
      <c r="B128" s="16"/>
      <c r="C128" s="17"/>
      <c r="D128" s="17"/>
      <c r="E128" s="17"/>
      <c r="F128" s="18"/>
    </row>
    <row r="129" spans="2:6" ht="12.75">
      <c r="B129" s="16"/>
      <c r="C129" s="17" t="s">
        <v>526</v>
      </c>
      <c r="D129" s="84">
        <v>0</v>
      </c>
      <c r="E129" s="84">
        <v>0</v>
      </c>
      <c r="F129" s="85">
        <v>0</v>
      </c>
    </row>
    <row r="130" spans="2:6" ht="12.75">
      <c r="B130" s="16"/>
      <c r="C130" s="17"/>
      <c r="D130" s="17"/>
      <c r="E130" s="17"/>
      <c r="F130" s="18"/>
    </row>
    <row r="131" spans="2:6" ht="13.5" thickBot="1">
      <c r="B131" s="19"/>
      <c r="C131" s="20"/>
      <c r="D131" s="20"/>
      <c r="E131" s="20"/>
      <c r="F131" s="21"/>
    </row>
    <row r="133" spans="4:6" ht="12.75">
      <c r="D133" s="169" t="s">
        <v>319</v>
      </c>
      <c r="E133" s="169" t="s">
        <v>320</v>
      </c>
      <c r="F133" s="169" t="s">
        <v>321</v>
      </c>
    </row>
    <row r="135" spans="2:43" ht="12.75">
      <c r="B135" s="25" t="s">
        <v>278</v>
      </c>
      <c r="D135" s="23">
        <f>D127+D129</f>
        <v>2000</v>
      </c>
      <c r="E135" s="23">
        <f>E129</f>
        <v>0</v>
      </c>
      <c r="F135" s="23">
        <f>F129</f>
        <v>0</v>
      </c>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row>
    <row r="139" ht="12.75">
      <c r="A139" s="99" t="s">
        <v>164</v>
      </c>
    </row>
    <row r="140" spans="1:2" ht="12.75">
      <c r="A140" s="99"/>
      <c r="B140" s="164" t="s">
        <v>165</v>
      </c>
    </row>
    <row r="141" spans="1:2" ht="12.75">
      <c r="A141" s="99"/>
      <c r="B141" s="164" t="s">
        <v>166</v>
      </c>
    </row>
    <row r="142" ht="13.5" thickBot="1"/>
    <row r="143" spans="2:6" ht="12.75">
      <c r="B143" s="70" t="s">
        <v>197</v>
      </c>
      <c r="C143" s="71"/>
      <c r="D143" s="71"/>
      <c r="E143" s="71"/>
      <c r="F143" s="331"/>
    </row>
    <row r="144" spans="2:6" ht="12.75">
      <c r="B144" s="16"/>
      <c r="C144" s="48"/>
      <c r="D144" s="55" t="s">
        <v>319</v>
      </c>
      <c r="E144" s="55" t="s">
        <v>320</v>
      </c>
      <c r="F144" s="130" t="s">
        <v>321</v>
      </c>
    </row>
    <row r="145" spans="2:6" ht="12.75">
      <c r="B145" s="16"/>
      <c r="C145" s="17" t="s">
        <v>540</v>
      </c>
      <c r="D145" s="348" t="s">
        <v>541</v>
      </c>
      <c r="E145" s="348"/>
      <c r="F145" s="349"/>
    </row>
    <row r="146" spans="2:6" ht="12.75">
      <c r="B146" s="16"/>
      <c r="C146" s="17"/>
      <c r="D146" s="17"/>
      <c r="E146" s="17"/>
      <c r="F146" s="18"/>
    </row>
    <row r="147" spans="2:6" ht="13.5" thickBot="1">
      <c r="B147" s="19"/>
      <c r="C147" s="20"/>
      <c r="D147" s="20"/>
      <c r="E147" s="20"/>
      <c r="F147" s="21"/>
    </row>
    <row r="149" spans="4:6" ht="12.75">
      <c r="D149" s="169" t="s">
        <v>319</v>
      </c>
      <c r="E149" s="169" t="s">
        <v>320</v>
      </c>
      <c r="F149" s="169" t="s">
        <v>321</v>
      </c>
    </row>
    <row r="151" spans="2:6" ht="12.75">
      <c r="B151" s="25" t="s">
        <v>279</v>
      </c>
      <c r="D151" s="23">
        <v>0</v>
      </c>
      <c r="E151" s="23">
        <v>0</v>
      </c>
      <c r="F151" s="23">
        <v>0</v>
      </c>
    </row>
    <row r="152" spans="4:6" ht="12.75">
      <c r="D152" s="23"/>
      <c r="E152" s="23"/>
      <c r="F152" s="23"/>
    </row>
    <row r="155" ht="12.75">
      <c r="A155" s="99" t="s">
        <v>172</v>
      </c>
    </row>
    <row r="156" spans="1:2" ht="12.75">
      <c r="A156" s="99"/>
      <c r="B156" s="25" t="s">
        <v>228</v>
      </c>
    </row>
    <row r="157" spans="1:2" ht="12.75">
      <c r="A157" s="99"/>
      <c r="B157" s="25" t="s">
        <v>232</v>
      </c>
    </row>
    <row r="158" spans="1:2" ht="12.75">
      <c r="A158" s="99"/>
      <c r="B158" s="164" t="s">
        <v>173</v>
      </c>
    </row>
    <row r="159" spans="1:2" ht="12.75">
      <c r="A159" s="99"/>
      <c r="B159" s="164" t="s">
        <v>174</v>
      </c>
    </row>
    <row r="160" spans="1:2" ht="12.75">
      <c r="A160" s="99"/>
      <c r="B160" s="164" t="s">
        <v>34</v>
      </c>
    </row>
    <row r="161" ht="13.5" thickBot="1"/>
    <row r="162" spans="2:10" ht="12.75">
      <c r="B162" s="70" t="s">
        <v>197</v>
      </c>
      <c r="C162" s="71"/>
      <c r="D162" s="71"/>
      <c r="E162" s="71"/>
      <c r="F162" s="331"/>
      <c r="J162" s="113"/>
    </row>
    <row r="163" spans="2:6" ht="12.75">
      <c r="B163" s="16"/>
      <c r="C163" s="48"/>
      <c r="D163" s="55" t="s">
        <v>319</v>
      </c>
      <c r="E163" s="55" t="s">
        <v>320</v>
      </c>
      <c r="F163" s="130" t="s">
        <v>321</v>
      </c>
    </row>
    <row r="164" spans="2:6" ht="12.75">
      <c r="B164" s="16"/>
      <c r="C164" s="48" t="s">
        <v>524</v>
      </c>
      <c r="D164" s="12"/>
      <c r="E164" s="84">
        <v>4000</v>
      </c>
      <c r="F164" s="168"/>
    </row>
    <row r="165" spans="2:6" ht="12.75">
      <c r="B165" s="16"/>
      <c r="C165" s="48"/>
      <c r="D165" s="12"/>
      <c r="E165" s="12"/>
      <c r="F165" s="168"/>
    </row>
    <row r="166" spans="2:6" ht="12.75">
      <c r="B166" s="16"/>
      <c r="C166" s="48" t="s">
        <v>542</v>
      </c>
      <c r="D166" s="12"/>
      <c r="E166" s="86">
        <v>4000</v>
      </c>
      <c r="F166" s="87">
        <v>4000</v>
      </c>
    </row>
    <row r="167" spans="2:6" ht="12.75">
      <c r="B167" s="16"/>
      <c r="C167" s="48" t="s">
        <v>409</v>
      </c>
      <c r="D167" s="12"/>
      <c r="E167" s="74">
        <v>0.25</v>
      </c>
      <c r="F167" s="75">
        <v>0.25</v>
      </c>
    </row>
    <row r="168" spans="2:6" ht="12.75">
      <c r="B168" s="16"/>
      <c r="C168" s="48"/>
      <c r="D168" s="12"/>
      <c r="E168" s="12"/>
      <c r="F168" s="168"/>
    </row>
    <row r="169" spans="2:6" ht="12.75">
      <c r="B169" s="16"/>
      <c r="C169" s="48" t="s">
        <v>410</v>
      </c>
      <c r="D169" s="12"/>
      <c r="E169" s="23">
        <f>Staffing!L113</f>
        <v>64387.5</v>
      </c>
      <c r="F169" s="184">
        <f>Staffing!M113</f>
        <v>65675.25</v>
      </c>
    </row>
    <row r="170" spans="2:6" ht="12.75">
      <c r="B170" s="16"/>
      <c r="C170" s="17"/>
      <c r="D170" s="12"/>
      <c r="E170" s="12"/>
      <c r="F170" s="168"/>
    </row>
    <row r="171" spans="2:6" ht="13.5" thickBot="1">
      <c r="B171" s="19"/>
      <c r="C171" s="20"/>
      <c r="D171" s="20"/>
      <c r="E171" s="20"/>
      <c r="F171" s="21"/>
    </row>
    <row r="173" spans="4:6" ht="12.75">
      <c r="D173" s="169" t="s">
        <v>319</v>
      </c>
      <c r="E173" s="169" t="s">
        <v>320</v>
      </c>
      <c r="F173" s="169" t="s">
        <v>321</v>
      </c>
    </row>
    <row r="174" ht="12.75">
      <c r="H174" s="178"/>
    </row>
    <row r="175" spans="2:43" ht="12.75">
      <c r="B175" s="25" t="s">
        <v>280</v>
      </c>
      <c r="D175" s="23"/>
      <c r="E175" s="23">
        <f>E164+(E166*E167)+E169</f>
        <v>69387.5</v>
      </c>
      <c r="F175" s="23">
        <f>F164+(F166*F167)+F169</f>
        <v>66675.25</v>
      </c>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row>
    <row r="177" ht="12.75">
      <c r="H177" s="164"/>
    </row>
    <row r="178" ht="12.75">
      <c r="H178" s="164"/>
    </row>
    <row r="179" ht="12.75">
      <c r="A179" s="99" t="s">
        <v>37</v>
      </c>
    </row>
    <row r="180" spans="1:2" ht="12.75">
      <c r="A180" s="99"/>
      <c r="B180" s="25" t="s">
        <v>331</v>
      </c>
    </row>
    <row r="181" spans="1:2" ht="12.75">
      <c r="A181" s="99"/>
      <c r="B181" s="178" t="s">
        <v>38</v>
      </c>
    </row>
    <row r="182" ht="13.5" thickBot="1"/>
    <row r="183" spans="2:6" ht="12.75">
      <c r="B183" s="70" t="s">
        <v>197</v>
      </c>
      <c r="C183" s="71"/>
      <c r="D183" s="71"/>
      <c r="E183" s="71"/>
      <c r="F183" s="331"/>
    </row>
    <row r="184" spans="2:6" ht="12.75">
      <c r="B184" s="16"/>
      <c r="C184" s="48"/>
      <c r="D184" s="55" t="s">
        <v>319</v>
      </c>
      <c r="E184" s="55" t="s">
        <v>320</v>
      </c>
      <c r="F184" s="130" t="s">
        <v>321</v>
      </c>
    </row>
    <row r="185" spans="2:43" ht="12.75">
      <c r="B185" s="16"/>
      <c r="C185" s="17" t="s">
        <v>524</v>
      </c>
      <c r="E185" s="84">
        <v>5000</v>
      </c>
      <c r="F185" s="166"/>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row>
    <row r="186" spans="2:6" ht="12.75">
      <c r="B186" s="16"/>
      <c r="C186" s="17"/>
      <c r="D186" s="11"/>
      <c r="E186" s="11"/>
      <c r="F186" s="166"/>
    </row>
    <row r="187" spans="2:6" ht="12.75">
      <c r="B187" s="16"/>
      <c r="C187" s="17" t="s">
        <v>526</v>
      </c>
      <c r="D187" s="183"/>
      <c r="E187" s="84">
        <v>0</v>
      </c>
      <c r="F187" s="85">
        <v>0</v>
      </c>
    </row>
    <row r="188" spans="2:6" ht="12.75">
      <c r="B188" s="16"/>
      <c r="C188" s="17"/>
      <c r="D188" s="17"/>
      <c r="E188" s="17"/>
      <c r="F188" s="18"/>
    </row>
    <row r="189" spans="2:6" ht="13.5" thickBot="1">
      <c r="B189" s="19"/>
      <c r="C189" s="20"/>
      <c r="D189" s="20"/>
      <c r="E189" s="20"/>
      <c r="F189" s="21"/>
    </row>
    <row r="191" spans="4:6" ht="12.75">
      <c r="D191" s="169" t="s">
        <v>319</v>
      </c>
      <c r="E191" s="169" t="s">
        <v>320</v>
      </c>
      <c r="F191" s="169" t="s">
        <v>321</v>
      </c>
    </row>
    <row r="192" ht="12.75">
      <c r="B192" s="99"/>
    </row>
    <row r="193" spans="2:43" ht="12.75">
      <c r="B193" s="25" t="s">
        <v>281</v>
      </c>
      <c r="D193" s="23">
        <v>0</v>
      </c>
      <c r="E193" s="23">
        <f>E185+E187</f>
        <v>5000</v>
      </c>
      <c r="F193" s="23">
        <f>F187</f>
        <v>0</v>
      </c>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row>
    <row r="197" ht="12.75">
      <c r="A197" s="99" t="s">
        <v>81</v>
      </c>
    </row>
    <row r="198" spans="1:2" ht="12.75">
      <c r="A198" s="99"/>
      <c r="B198" s="164" t="s">
        <v>403</v>
      </c>
    </row>
    <row r="199" spans="1:2" ht="12.75">
      <c r="A199" s="99"/>
      <c r="B199" s="164" t="s">
        <v>82</v>
      </c>
    </row>
    <row r="200" spans="1:2" ht="12.75">
      <c r="A200" s="99"/>
      <c r="B200" s="164" t="s">
        <v>83</v>
      </c>
    </row>
    <row r="201" ht="13.5" thickBot="1"/>
    <row r="202" spans="2:6" ht="12.75">
      <c r="B202" s="70" t="s">
        <v>197</v>
      </c>
      <c r="C202" s="71"/>
      <c r="D202" s="71"/>
      <c r="E202" s="71"/>
      <c r="F202" s="331"/>
    </row>
    <row r="203" spans="2:6" ht="12.75">
      <c r="B203" s="16"/>
      <c r="C203" s="48"/>
      <c r="D203" s="55" t="s">
        <v>319</v>
      </c>
      <c r="E203" s="55" t="s">
        <v>320</v>
      </c>
      <c r="F203" s="130" t="s">
        <v>321</v>
      </c>
    </row>
    <row r="204" spans="2:6" ht="12.75">
      <c r="B204" s="16"/>
      <c r="C204" s="48" t="s">
        <v>524</v>
      </c>
      <c r="E204" s="84">
        <v>80000</v>
      </c>
      <c r="F204" s="85">
        <v>80000</v>
      </c>
    </row>
    <row r="205" spans="2:6" ht="12.75">
      <c r="B205" s="16"/>
      <c r="C205" s="48"/>
      <c r="D205" s="55"/>
      <c r="E205" s="55"/>
      <c r="F205" s="130"/>
    </row>
    <row r="206" spans="2:6" ht="12.75">
      <c r="B206" s="16"/>
      <c r="C206" s="48" t="s">
        <v>411</v>
      </c>
      <c r="D206" s="55"/>
      <c r="E206" s="23">
        <f>Staffing!L128</f>
        <v>893520</v>
      </c>
      <c r="F206" s="112">
        <f>Staffing!M128</f>
        <v>2088082.8</v>
      </c>
    </row>
    <row r="207" spans="2:6" ht="12.75">
      <c r="B207" s="16"/>
      <c r="C207" s="48"/>
      <c r="D207" s="55"/>
      <c r="E207" s="55"/>
      <c r="F207" s="130"/>
    </row>
    <row r="208" spans="2:6" ht="12.75">
      <c r="B208" s="16"/>
      <c r="C208" s="48" t="s">
        <v>412</v>
      </c>
      <c r="D208" s="55"/>
      <c r="E208" s="76">
        <v>0.1</v>
      </c>
      <c r="F208" s="69">
        <v>0.1</v>
      </c>
    </row>
    <row r="209" spans="2:6" ht="12.75">
      <c r="B209" s="16"/>
      <c r="C209" s="193" t="s">
        <v>413</v>
      </c>
      <c r="D209" s="55"/>
      <c r="E209" s="23">
        <f>E208*'Revenue - B-to-C'!S281</f>
        <v>47580</v>
      </c>
      <c r="F209" s="112">
        <f>F208*'Revenue - B-to-C'!AE281</f>
        <v>142222.5</v>
      </c>
    </row>
    <row r="210" spans="2:6" ht="12.75">
      <c r="B210" s="16"/>
      <c r="C210" s="193" t="s">
        <v>414</v>
      </c>
      <c r="D210" s="55"/>
      <c r="E210" s="23">
        <v>0</v>
      </c>
      <c r="F210" s="112">
        <f>E209</f>
        <v>47580</v>
      </c>
    </row>
    <row r="211" spans="2:6" ht="12.75">
      <c r="B211" s="16"/>
      <c r="C211" s="193" t="s">
        <v>415</v>
      </c>
      <c r="D211" s="55"/>
      <c r="E211" s="23">
        <f>E209+E210</f>
        <v>47580</v>
      </c>
      <c r="F211" s="112">
        <f>F209+F210</f>
        <v>189802.5</v>
      </c>
    </row>
    <row r="212" spans="2:6" ht="12.75">
      <c r="B212" s="16"/>
      <c r="C212" s="48"/>
      <c r="D212" s="55"/>
      <c r="E212" s="55"/>
      <c r="F212" s="130"/>
    </row>
    <row r="213" spans="2:7" ht="12.75">
      <c r="B213" s="16"/>
      <c r="C213" s="48" t="s">
        <v>416</v>
      </c>
      <c r="D213" s="55"/>
      <c r="E213" s="55"/>
      <c r="F213" s="130"/>
      <c r="G213" s="25" t="s">
        <v>417</v>
      </c>
    </row>
    <row r="214" spans="2:6" ht="12.75">
      <c r="B214" s="16"/>
      <c r="C214" s="193" t="s">
        <v>418</v>
      </c>
      <c r="D214" s="55"/>
      <c r="E214" s="76">
        <v>0.5</v>
      </c>
      <c r="F214" s="69">
        <v>0.5</v>
      </c>
    </row>
    <row r="215" spans="2:6" ht="12.75">
      <c r="B215" s="16"/>
      <c r="C215" s="193" t="s">
        <v>419</v>
      </c>
      <c r="D215" s="55"/>
      <c r="E215" s="76">
        <v>0.25</v>
      </c>
      <c r="F215" s="69">
        <v>0.25</v>
      </c>
    </row>
    <row r="216" spans="2:6" ht="12.75">
      <c r="B216" s="16"/>
      <c r="C216" s="193" t="s">
        <v>420</v>
      </c>
      <c r="D216" s="55"/>
      <c r="E216" s="23">
        <f>E214*E215*'Revenue - B-to-C'!S283</f>
        <v>45966.375</v>
      </c>
      <c r="F216" s="112">
        <f>F214*F215*'Revenue - B-to-C'!AE283</f>
        <v>161840.4046875</v>
      </c>
    </row>
    <row r="217" spans="2:6" ht="12.75">
      <c r="B217" s="16"/>
      <c r="C217" s="193" t="s">
        <v>421</v>
      </c>
      <c r="D217" s="55"/>
      <c r="E217" s="23">
        <v>0</v>
      </c>
      <c r="F217" s="194">
        <f>E216</f>
        <v>45966.375</v>
      </c>
    </row>
    <row r="218" spans="2:6" ht="12.75">
      <c r="B218" s="16"/>
      <c r="C218" s="193" t="s">
        <v>422</v>
      </c>
      <c r="D218" s="55"/>
      <c r="E218" s="195">
        <f>E216+E217</f>
        <v>45966.375</v>
      </c>
      <c r="F218" s="194">
        <f>F216+F217</f>
        <v>207806.7796875</v>
      </c>
    </row>
    <row r="219" spans="2:6" ht="12.75">
      <c r="B219" s="16"/>
      <c r="C219" s="48"/>
      <c r="D219" s="55"/>
      <c r="E219" s="55"/>
      <c r="F219" s="130"/>
    </row>
    <row r="220" spans="2:44" ht="12.75">
      <c r="B220" s="16"/>
      <c r="C220" s="48" t="s">
        <v>423</v>
      </c>
      <c r="D220" s="55"/>
      <c r="E220" s="84">
        <v>25000</v>
      </c>
      <c r="F220" s="85">
        <v>50000</v>
      </c>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row>
    <row r="221" spans="2:6" ht="12.75">
      <c r="B221" s="16"/>
      <c r="C221" s="48"/>
      <c r="D221" s="55"/>
      <c r="E221" s="55"/>
      <c r="F221" s="130"/>
    </row>
    <row r="222" spans="2:7" ht="12.75">
      <c r="B222" s="16"/>
      <c r="C222" s="48" t="s">
        <v>206</v>
      </c>
      <c r="D222" s="55"/>
      <c r="E222" s="55"/>
      <c r="F222" s="130"/>
      <c r="G222" s="25" t="s">
        <v>424</v>
      </c>
    </row>
    <row r="223" spans="2:6" ht="12.75">
      <c r="B223" s="16"/>
      <c r="C223" s="193" t="s">
        <v>425</v>
      </c>
      <c r="D223" s="55"/>
      <c r="E223" s="23">
        <f>'Expenses - Website'!E47*'Expenses - Website'!E48*Staffing!C126</f>
        <v>27250.000000000004</v>
      </c>
      <c r="F223" s="112">
        <f>'Expenses - Website'!F47*'Expenses - Website'!F48*Staffing!D126</f>
        <v>64500.00000000001</v>
      </c>
    </row>
    <row r="224" spans="2:6" ht="12.75">
      <c r="B224" s="16"/>
      <c r="C224" s="193" t="s">
        <v>426</v>
      </c>
      <c r="D224" s="55"/>
      <c r="E224" s="23">
        <v>0</v>
      </c>
      <c r="F224" s="112">
        <f>E223</f>
        <v>27250.000000000004</v>
      </c>
    </row>
    <row r="225" spans="2:6" ht="12.75">
      <c r="B225" s="16"/>
      <c r="C225" s="193" t="s">
        <v>427</v>
      </c>
      <c r="D225" s="55"/>
      <c r="E225" s="23">
        <f>E223+E224</f>
        <v>27250.000000000004</v>
      </c>
      <c r="F225" s="112">
        <f>F223+F224</f>
        <v>91750.00000000001</v>
      </c>
    </row>
    <row r="226" spans="2:6" ht="12.75">
      <c r="B226" s="16"/>
      <c r="C226" s="48"/>
      <c r="D226" s="55"/>
      <c r="E226" s="55"/>
      <c r="F226" s="130"/>
    </row>
    <row r="227" spans="2:6" ht="12.75">
      <c r="B227" s="16"/>
      <c r="C227" s="48" t="s">
        <v>428</v>
      </c>
      <c r="D227" s="55"/>
      <c r="E227" s="84">
        <v>10000</v>
      </c>
      <c r="F227" s="85">
        <v>20000</v>
      </c>
    </row>
    <row r="228" spans="2:44" ht="12.75">
      <c r="B228" s="16"/>
      <c r="C228" s="48"/>
      <c r="D228" s="55"/>
      <c r="E228" s="55"/>
      <c r="F228" s="1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172"/>
    </row>
    <row r="229" spans="2:44" ht="12.75">
      <c r="B229" s="16"/>
      <c r="C229" s="48" t="s">
        <v>208</v>
      </c>
      <c r="D229" s="55"/>
      <c r="E229" s="23">
        <f>'Expenses - Website'!E52*('Expenses- BtoC'!E220+'Expenses- BtoC'!E225+'Expenses- BtoC'!E227)</f>
        <v>6225</v>
      </c>
      <c r="F229" s="112">
        <f>'Expenses - Website'!F52*('Expenses- BtoC'!F220+'Expenses- BtoC'!F225+'Expenses- BtoC'!F227)</f>
        <v>16175</v>
      </c>
      <c r="G229" s="25" t="s">
        <v>424</v>
      </c>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172"/>
    </row>
    <row r="230" spans="2:44" ht="12.75">
      <c r="B230" s="16"/>
      <c r="C230" s="17"/>
      <c r="D230" s="17"/>
      <c r="E230" s="17"/>
      <c r="F230" s="18"/>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row>
    <row r="231" spans="2:44" ht="13.5" thickBot="1">
      <c r="B231" s="19"/>
      <c r="C231" s="20"/>
      <c r="D231" s="20"/>
      <c r="E231" s="20"/>
      <c r="F231" s="21"/>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row>
    <row r="232" spans="9:44" ht="12.75">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row>
    <row r="233" spans="4:44" ht="12.75">
      <c r="D233" s="169" t="s">
        <v>319</v>
      </c>
      <c r="E233" s="169" t="s">
        <v>320</v>
      </c>
      <c r="F233" s="169" t="s">
        <v>321</v>
      </c>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row>
    <row r="234" spans="9:44" ht="12.75">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row>
    <row r="235" spans="2:44" ht="12.75">
      <c r="B235" s="25" t="s">
        <v>94</v>
      </c>
      <c r="D235" s="23">
        <v>0</v>
      </c>
      <c r="E235" s="23">
        <f>E204+E206+E211+E218+E220+E225+E227+E229</f>
        <v>1135541.375</v>
      </c>
      <c r="F235" s="23">
        <f>F204+F206+F211+F218+F220+F225+F227+F229</f>
        <v>2743617.0796875</v>
      </c>
      <c r="G235" s="182"/>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row>
    <row r="236" spans="4:44" ht="12.75">
      <c r="D236" s="23"/>
      <c r="E236" s="23"/>
      <c r="F236" s="23"/>
      <c r="G236" s="182"/>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row>
    <row r="237" spans="7:44" ht="12.75">
      <c r="G237" s="182"/>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row>
    <row r="238" spans="7:44" ht="12.75">
      <c r="G238" s="182"/>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row>
    <row r="239" spans="1:44" ht="12.75">
      <c r="A239" s="99" t="s">
        <v>471</v>
      </c>
      <c r="G239" s="182"/>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row>
    <row r="240" spans="1:44" ht="12.75">
      <c r="A240" s="99"/>
      <c r="B240" s="25" t="s">
        <v>472</v>
      </c>
      <c r="G240" s="182"/>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row>
    <row r="241" spans="1:44" ht="12.75">
      <c r="A241" s="99"/>
      <c r="B241" s="164" t="s">
        <v>473</v>
      </c>
      <c r="G241" s="182"/>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row>
    <row r="242" spans="7:44" ht="13.5" thickBot="1">
      <c r="G242" s="182"/>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row>
    <row r="243" spans="2:44" ht="12.75">
      <c r="B243" s="70" t="s">
        <v>197</v>
      </c>
      <c r="C243" s="71"/>
      <c r="D243" s="71"/>
      <c r="E243" s="71"/>
      <c r="F243" s="331"/>
      <c r="G243" s="182"/>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row>
    <row r="244" spans="2:44" ht="12.75">
      <c r="B244" s="16"/>
      <c r="C244" s="48"/>
      <c r="D244" s="55" t="s">
        <v>319</v>
      </c>
      <c r="E244" s="55" t="s">
        <v>320</v>
      </c>
      <c r="F244" s="130" t="s">
        <v>321</v>
      </c>
      <c r="G244" s="182"/>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row>
    <row r="245" spans="2:44" ht="12.75">
      <c r="B245" s="16"/>
      <c r="C245" s="48" t="s">
        <v>524</v>
      </c>
      <c r="D245" s="17"/>
      <c r="E245" s="84">
        <v>35000</v>
      </c>
      <c r="F245" s="85">
        <v>10000</v>
      </c>
      <c r="G245" s="182"/>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row>
    <row r="246" spans="2:44" ht="12.75">
      <c r="B246" s="16"/>
      <c r="C246" s="26"/>
      <c r="D246" s="11"/>
      <c r="E246" s="11"/>
      <c r="F246" s="166"/>
      <c r="G246" s="182"/>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row>
    <row r="247" spans="2:44" ht="13.5" thickBot="1">
      <c r="B247" s="19"/>
      <c r="C247" s="20"/>
      <c r="D247" s="20"/>
      <c r="E247" s="20"/>
      <c r="F247" s="21"/>
      <c r="G247" s="182"/>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row>
    <row r="248" spans="7:44" ht="12.75">
      <c r="G248" s="182"/>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row>
    <row r="249" spans="4:44" ht="12.75">
      <c r="D249" s="169" t="s">
        <v>319</v>
      </c>
      <c r="E249" s="169" t="s">
        <v>320</v>
      </c>
      <c r="F249" s="169" t="s">
        <v>321</v>
      </c>
      <c r="G249" s="182"/>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row>
    <row r="250" spans="7:44" ht="12.75">
      <c r="G250" s="182"/>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row>
    <row r="251" spans="2:44" ht="12.75">
      <c r="B251" s="25" t="s">
        <v>283</v>
      </c>
      <c r="D251" s="23"/>
      <c r="E251" s="23">
        <f>E245</f>
        <v>35000</v>
      </c>
      <c r="F251" s="23">
        <f>F245</f>
        <v>10000</v>
      </c>
      <c r="G251" s="182"/>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row>
    <row r="252" spans="7:44" ht="12.75">
      <c r="G252" s="182"/>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row>
    <row r="253" spans="7:44" ht="12.75">
      <c r="G253" s="182"/>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row>
    <row r="254" spans="7:44" ht="12.75">
      <c r="G254" s="182"/>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row>
    <row r="255" ht="12.75">
      <c r="A255" s="99" t="s">
        <v>481</v>
      </c>
    </row>
    <row r="256" spans="1:2" ht="12.75">
      <c r="A256" s="99"/>
      <c r="B256" s="164" t="s">
        <v>482</v>
      </c>
    </row>
    <row r="257" spans="1:2" ht="12.75">
      <c r="A257" s="99"/>
      <c r="B257" s="164" t="s">
        <v>483</v>
      </c>
    </row>
    <row r="258" spans="1:2" ht="12.75">
      <c r="A258" s="99"/>
      <c r="B258" s="164" t="s">
        <v>484</v>
      </c>
    </row>
    <row r="259" spans="1:2" ht="12.75">
      <c r="A259" s="99"/>
      <c r="B259" s="164" t="s">
        <v>485</v>
      </c>
    </row>
    <row r="260" ht="13.5" thickBot="1"/>
    <row r="261" spans="2:6" ht="12.75">
      <c r="B261" s="70" t="s">
        <v>197</v>
      </c>
      <c r="C261" s="71"/>
      <c r="D261" s="71"/>
      <c r="E261" s="71"/>
      <c r="F261" s="331"/>
    </row>
    <row r="262" spans="2:6" ht="12.75">
      <c r="B262" s="16"/>
      <c r="C262" s="48"/>
      <c r="D262" s="55" t="s">
        <v>319</v>
      </c>
      <c r="E262" s="55" t="s">
        <v>320</v>
      </c>
      <c r="F262" s="130" t="s">
        <v>321</v>
      </c>
    </row>
    <row r="263" spans="2:43" ht="12.75">
      <c r="B263" s="16"/>
      <c r="C263" s="48"/>
      <c r="D263" s="17"/>
      <c r="E263" s="11"/>
      <c r="F263" s="166"/>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row>
    <row r="264" spans="2:6" ht="12.75">
      <c r="B264" s="16"/>
      <c r="C264" s="26"/>
      <c r="D264" s="11"/>
      <c r="E264" s="11"/>
      <c r="F264" s="166"/>
    </row>
    <row r="265" spans="2:6" ht="13.5" thickBot="1">
      <c r="B265" s="19"/>
      <c r="C265" s="20"/>
      <c r="D265" s="20"/>
      <c r="E265" s="20"/>
      <c r="F265" s="21"/>
    </row>
    <row r="267" spans="4:6" ht="12.75">
      <c r="D267" s="169" t="s">
        <v>319</v>
      </c>
      <c r="E267" s="169" t="s">
        <v>320</v>
      </c>
      <c r="F267" s="169" t="s">
        <v>321</v>
      </c>
    </row>
    <row r="269" spans="2:43" ht="12.75">
      <c r="B269" s="25" t="s">
        <v>284</v>
      </c>
      <c r="D269" s="23">
        <v>0</v>
      </c>
      <c r="E269" s="23">
        <v>0</v>
      </c>
      <c r="F269" s="23">
        <v>0</v>
      </c>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row>
    <row r="273" spans="7:44" ht="12.75">
      <c r="G273" s="182"/>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row>
    <row r="274" spans="9:44" ht="12.75">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row>
    <row r="275" spans="9:44" ht="12.75">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row>
  </sheetData>
  <mergeCells count="1">
    <mergeCell ref="D145:F14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AS174"/>
  <sheetViews>
    <sheetView zoomScale="110" zoomScaleNormal="110" workbookViewId="0" topLeftCell="A1">
      <selection activeCell="F43" sqref="F43"/>
    </sheetView>
  </sheetViews>
  <sheetFormatPr defaultColWidth="11.421875" defaultRowHeight="12.75"/>
  <cols>
    <col min="1" max="1" width="3.140625" style="25" customWidth="1"/>
    <col min="2" max="2" width="29.7109375" style="25" customWidth="1"/>
    <col min="3" max="3" width="11.421875" style="25" customWidth="1"/>
    <col min="4" max="5" width="12.8515625" style="25" bestFit="1" customWidth="1"/>
    <col min="6" max="6" width="33.7109375" style="25" customWidth="1"/>
    <col min="7" max="7" width="4.421875" style="25" customWidth="1"/>
    <col min="8" max="8" width="12.14062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2" spans="1:43" ht="12.75">
      <c r="A2" s="270" t="s">
        <v>519</v>
      </c>
      <c r="B2" s="231"/>
      <c r="C2" s="328" t="s">
        <v>319</v>
      </c>
      <c r="D2" s="328" t="s">
        <v>320</v>
      </c>
      <c r="E2" s="328" t="s">
        <v>321</v>
      </c>
      <c r="F2" s="329" t="s">
        <v>330</v>
      </c>
      <c r="H2" s="53" t="s">
        <v>319</v>
      </c>
      <c r="I2" s="54"/>
      <c r="J2" s="54"/>
      <c r="K2" s="54"/>
      <c r="L2" s="54"/>
      <c r="M2" s="54"/>
      <c r="N2" s="54"/>
      <c r="O2" s="54"/>
      <c r="P2" s="54"/>
      <c r="Q2" s="54"/>
      <c r="R2" s="54"/>
      <c r="S2" s="39"/>
      <c r="T2" s="53" t="s">
        <v>320</v>
      </c>
      <c r="U2" s="54"/>
      <c r="V2" s="54"/>
      <c r="W2" s="54"/>
      <c r="X2" s="54"/>
      <c r="Y2" s="54"/>
      <c r="Z2" s="54"/>
      <c r="AA2" s="54"/>
      <c r="AB2" s="54"/>
      <c r="AC2" s="54"/>
      <c r="AD2" s="54"/>
      <c r="AE2" s="39"/>
      <c r="AF2" s="53" t="s">
        <v>321</v>
      </c>
      <c r="AG2" s="54"/>
      <c r="AH2" s="54"/>
      <c r="AI2" s="54"/>
      <c r="AJ2" s="54"/>
      <c r="AK2" s="54"/>
      <c r="AL2" s="54"/>
      <c r="AM2" s="54"/>
      <c r="AN2" s="54"/>
      <c r="AO2" s="54"/>
      <c r="AP2" s="54"/>
      <c r="AQ2" s="39"/>
    </row>
    <row r="3" spans="1:43" ht="12.75">
      <c r="A3" s="32"/>
      <c r="B3" s="26"/>
      <c r="C3" s="26"/>
      <c r="D3" s="26"/>
      <c r="E3" s="26"/>
      <c r="F3" s="108"/>
      <c r="H3" s="40" t="s">
        <v>323</v>
      </c>
      <c r="I3" s="41" t="s">
        <v>324</v>
      </c>
      <c r="J3" s="41" t="s">
        <v>325</v>
      </c>
      <c r="K3" s="41" t="s">
        <v>326</v>
      </c>
      <c r="L3" s="41" t="s">
        <v>130</v>
      </c>
      <c r="M3" s="41" t="s">
        <v>131</v>
      </c>
      <c r="N3" s="41" t="s">
        <v>132</v>
      </c>
      <c r="O3" s="41" t="s">
        <v>133</v>
      </c>
      <c r="P3" s="41" t="s">
        <v>134</v>
      </c>
      <c r="Q3" s="41" t="s">
        <v>135</v>
      </c>
      <c r="R3" s="41" t="s">
        <v>136</v>
      </c>
      <c r="S3" s="41" t="s">
        <v>137</v>
      </c>
      <c r="T3" s="41" t="s">
        <v>323</v>
      </c>
      <c r="U3" s="41" t="s">
        <v>324</v>
      </c>
      <c r="V3" s="41" t="s">
        <v>325</v>
      </c>
      <c r="W3" s="41" t="s">
        <v>326</v>
      </c>
      <c r="X3" s="41" t="s">
        <v>130</v>
      </c>
      <c r="Y3" s="41" t="s">
        <v>131</v>
      </c>
      <c r="Z3" s="41" t="s">
        <v>132</v>
      </c>
      <c r="AA3" s="41" t="s">
        <v>133</v>
      </c>
      <c r="AB3" s="41" t="s">
        <v>134</v>
      </c>
      <c r="AC3" s="41" t="s">
        <v>135</v>
      </c>
      <c r="AD3" s="41" t="s">
        <v>136</v>
      </c>
      <c r="AE3" s="41" t="s">
        <v>137</v>
      </c>
      <c r="AF3" s="43" t="s">
        <v>323</v>
      </c>
      <c r="AG3" s="43" t="s">
        <v>324</v>
      </c>
      <c r="AH3" s="43" t="s">
        <v>325</v>
      </c>
      <c r="AI3" s="43" t="s">
        <v>326</v>
      </c>
      <c r="AJ3" s="43" t="s">
        <v>130</v>
      </c>
      <c r="AK3" s="43" t="s">
        <v>131</v>
      </c>
      <c r="AL3" s="43" t="s">
        <v>132</v>
      </c>
      <c r="AM3" s="43" t="s">
        <v>133</v>
      </c>
      <c r="AN3" s="43" t="s">
        <v>134</v>
      </c>
      <c r="AO3" s="43" t="s">
        <v>135</v>
      </c>
      <c r="AP3" s="43" t="s">
        <v>136</v>
      </c>
      <c r="AQ3" s="106" t="s">
        <v>137</v>
      </c>
    </row>
    <row r="4" spans="1:43" ht="12.75">
      <c r="A4" s="32" t="s">
        <v>274</v>
      </c>
      <c r="B4" s="26"/>
      <c r="C4" s="153">
        <f>C41</f>
        <v>12752.982456140351</v>
      </c>
      <c r="D4" s="153">
        <f>D41</f>
        <v>49708.35087719299</v>
      </c>
      <c r="E4" s="153">
        <f>E41</f>
        <v>95866.10526315788</v>
      </c>
      <c r="F4" s="108" t="str">
        <f>'Revenue - B-to-C'!F4</f>
        <v>year 1 launch</v>
      </c>
      <c r="H4" s="111">
        <f>C4/12</f>
        <v>1062.748538011696</v>
      </c>
      <c r="I4" s="23">
        <f>$C$4/12</f>
        <v>1062.748538011696</v>
      </c>
      <c r="J4" s="23">
        <f aca="true" t="shared" si="0" ref="J4:S4">$C$4/12</f>
        <v>1062.748538011696</v>
      </c>
      <c r="K4" s="23">
        <f t="shared" si="0"/>
        <v>1062.748538011696</v>
      </c>
      <c r="L4" s="23">
        <f t="shared" si="0"/>
        <v>1062.748538011696</v>
      </c>
      <c r="M4" s="23">
        <f t="shared" si="0"/>
        <v>1062.748538011696</v>
      </c>
      <c r="N4" s="23">
        <f t="shared" si="0"/>
        <v>1062.748538011696</v>
      </c>
      <c r="O4" s="23">
        <f t="shared" si="0"/>
        <v>1062.748538011696</v>
      </c>
      <c r="P4" s="23">
        <f t="shared" si="0"/>
        <v>1062.748538011696</v>
      </c>
      <c r="Q4" s="23">
        <f t="shared" si="0"/>
        <v>1062.748538011696</v>
      </c>
      <c r="R4" s="23">
        <f t="shared" si="0"/>
        <v>1062.748538011696</v>
      </c>
      <c r="S4" s="23">
        <f t="shared" si="0"/>
        <v>1062.748538011696</v>
      </c>
      <c r="T4" s="23">
        <f>$D$4/12</f>
        <v>4142.362573099416</v>
      </c>
      <c r="U4" s="23">
        <f aca="true" t="shared" si="1" ref="U4:AE4">$D$4/12</f>
        <v>4142.362573099416</v>
      </c>
      <c r="V4" s="23">
        <f t="shared" si="1"/>
        <v>4142.362573099416</v>
      </c>
      <c r="W4" s="23">
        <f t="shared" si="1"/>
        <v>4142.362573099416</v>
      </c>
      <c r="X4" s="23">
        <f t="shared" si="1"/>
        <v>4142.362573099416</v>
      </c>
      <c r="Y4" s="23">
        <f t="shared" si="1"/>
        <v>4142.362573099416</v>
      </c>
      <c r="Z4" s="23">
        <f t="shared" si="1"/>
        <v>4142.362573099416</v>
      </c>
      <c r="AA4" s="23">
        <f t="shared" si="1"/>
        <v>4142.362573099416</v>
      </c>
      <c r="AB4" s="23">
        <f t="shared" si="1"/>
        <v>4142.362573099416</v>
      </c>
      <c r="AC4" s="23">
        <f t="shared" si="1"/>
        <v>4142.362573099416</v>
      </c>
      <c r="AD4" s="23">
        <f t="shared" si="1"/>
        <v>4142.362573099416</v>
      </c>
      <c r="AE4" s="23">
        <f t="shared" si="1"/>
        <v>4142.362573099416</v>
      </c>
      <c r="AF4" s="23">
        <f>$E$4/12</f>
        <v>7988.842105263157</v>
      </c>
      <c r="AG4" s="23">
        <f aca="true" t="shared" si="2" ref="AG4:AQ4">$E$4/12</f>
        <v>7988.842105263157</v>
      </c>
      <c r="AH4" s="23">
        <f t="shared" si="2"/>
        <v>7988.842105263157</v>
      </c>
      <c r="AI4" s="23">
        <f t="shared" si="2"/>
        <v>7988.842105263157</v>
      </c>
      <c r="AJ4" s="23">
        <f t="shared" si="2"/>
        <v>7988.842105263157</v>
      </c>
      <c r="AK4" s="23">
        <f t="shared" si="2"/>
        <v>7988.842105263157</v>
      </c>
      <c r="AL4" s="23">
        <f t="shared" si="2"/>
        <v>7988.842105263157</v>
      </c>
      <c r="AM4" s="23">
        <f t="shared" si="2"/>
        <v>7988.842105263157</v>
      </c>
      <c r="AN4" s="23">
        <f t="shared" si="2"/>
        <v>7988.842105263157</v>
      </c>
      <c r="AO4" s="23">
        <f t="shared" si="2"/>
        <v>7988.842105263157</v>
      </c>
      <c r="AP4" s="23">
        <f t="shared" si="2"/>
        <v>7988.842105263157</v>
      </c>
      <c r="AQ4" s="112">
        <f t="shared" si="2"/>
        <v>7988.842105263157</v>
      </c>
    </row>
    <row r="5" spans="1:43" ht="12.75">
      <c r="A5" s="32"/>
      <c r="B5" s="26"/>
      <c r="C5" s="26"/>
      <c r="D5" s="26"/>
      <c r="E5" s="26"/>
      <c r="F5" s="108"/>
      <c r="H5" s="40"/>
      <c r="I5" s="41"/>
      <c r="J5" s="41"/>
      <c r="K5" s="41"/>
      <c r="L5" s="41"/>
      <c r="M5" s="41"/>
      <c r="N5" s="41"/>
      <c r="O5" s="41"/>
      <c r="P5" s="41"/>
      <c r="Q5" s="41"/>
      <c r="R5" s="41"/>
      <c r="S5" s="41"/>
      <c r="T5" s="41"/>
      <c r="U5" s="41"/>
      <c r="V5" s="41"/>
      <c r="W5" s="41"/>
      <c r="X5" s="41"/>
      <c r="Y5" s="41"/>
      <c r="Z5" s="41"/>
      <c r="AA5" s="41"/>
      <c r="AB5" s="41"/>
      <c r="AC5" s="41"/>
      <c r="AD5" s="41"/>
      <c r="AE5" s="41"/>
      <c r="AF5" s="43"/>
      <c r="AG5" s="43"/>
      <c r="AH5" s="43"/>
      <c r="AI5" s="43"/>
      <c r="AJ5" s="43"/>
      <c r="AK5" s="43"/>
      <c r="AL5" s="43"/>
      <c r="AM5" s="43"/>
      <c r="AN5" s="43"/>
      <c r="AO5" s="43"/>
      <c r="AP5" s="43"/>
      <c r="AQ5" s="106"/>
    </row>
    <row r="6" spans="1:43" ht="12.75">
      <c r="A6" s="32" t="s">
        <v>275</v>
      </c>
      <c r="B6" s="26"/>
      <c r="C6" s="23">
        <f>C53</f>
        <v>157200</v>
      </c>
      <c r="D6" s="23">
        <f>D53</f>
        <v>161700</v>
      </c>
      <c r="E6" s="23">
        <f>E53</f>
        <v>161190</v>
      </c>
      <c r="F6" s="108" t="str">
        <f>'Revenue - B-to-C'!F6</f>
        <v>year 1 launch</v>
      </c>
      <c r="H6" s="111">
        <f>C6/12</f>
        <v>13100</v>
      </c>
      <c r="I6" s="23">
        <f>$C$6/12</f>
        <v>13100</v>
      </c>
      <c r="J6" s="23">
        <f aca="true" t="shared" si="3" ref="J6:S6">$C$6/12</f>
        <v>13100</v>
      </c>
      <c r="K6" s="23">
        <f t="shared" si="3"/>
        <v>13100</v>
      </c>
      <c r="L6" s="23">
        <f t="shared" si="3"/>
        <v>13100</v>
      </c>
      <c r="M6" s="23">
        <f t="shared" si="3"/>
        <v>13100</v>
      </c>
      <c r="N6" s="23">
        <f t="shared" si="3"/>
        <v>13100</v>
      </c>
      <c r="O6" s="23">
        <f t="shared" si="3"/>
        <v>13100</v>
      </c>
      <c r="P6" s="23">
        <f t="shared" si="3"/>
        <v>13100</v>
      </c>
      <c r="Q6" s="23">
        <f t="shared" si="3"/>
        <v>13100</v>
      </c>
      <c r="R6" s="23">
        <f t="shared" si="3"/>
        <v>13100</v>
      </c>
      <c r="S6" s="23">
        <f t="shared" si="3"/>
        <v>13100</v>
      </c>
      <c r="T6" s="23">
        <f>$D$6/12</f>
        <v>13475</v>
      </c>
      <c r="U6" s="23">
        <f aca="true" t="shared" si="4" ref="U6:AE6">$D$6/12</f>
        <v>13475</v>
      </c>
      <c r="V6" s="23">
        <f t="shared" si="4"/>
        <v>13475</v>
      </c>
      <c r="W6" s="23">
        <f t="shared" si="4"/>
        <v>13475</v>
      </c>
      <c r="X6" s="23">
        <f t="shared" si="4"/>
        <v>13475</v>
      </c>
      <c r="Y6" s="23">
        <f t="shared" si="4"/>
        <v>13475</v>
      </c>
      <c r="Z6" s="23">
        <f t="shared" si="4"/>
        <v>13475</v>
      </c>
      <c r="AA6" s="23">
        <f t="shared" si="4"/>
        <v>13475</v>
      </c>
      <c r="AB6" s="23">
        <f t="shared" si="4"/>
        <v>13475</v>
      </c>
      <c r="AC6" s="23">
        <f t="shared" si="4"/>
        <v>13475</v>
      </c>
      <c r="AD6" s="23">
        <f t="shared" si="4"/>
        <v>13475</v>
      </c>
      <c r="AE6" s="23">
        <f t="shared" si="4"/>
        <v>13475</v>
      </c>
      <c r="AF6" s="23">
        <f>$E$6/12</f>
        <v>13432.5</v>
      </c>
      <c r="AG6" s="23">
        <f aca="true" t="shared" si="5" ref="AG6:AQ6">$E$6/12</f>
        <v>13432.5</v>
      </c>
      <c r="AH6" s="23">
        <f t="shared" si="5"/>
        <v>13432.5</v>
      </c>
      <c r="AI6" s="23">
        <f t="shared" si="5"/>
        <v>13432.5</v>
      </c>
      <c r="AJ6" s="23">
        <f t="shared" si="5"/>
        <v>13432.5</v>
      </c>
      <c r="AK6" s="23">
        <f t="shared" si="5"/>
        <v>13432.5</v>
      </c>
      <c r="AL6" s="23">
        <f t="shared" si="5"/>
        <v>13432.5</v>
      </c>
      <c r="AM6" s="23">
        <f t="shared" si="5"/>
        <v>13432.5</v>
      </c>
      <c r="AN6" s="23">
        <f t="shared" si="5"/>
        <v>13432.5</v>
      </c>
      <c r="AO6" s="23">
        <f t="shared" si="5"/>
        <v>13432.5</v>
      </c>
      <c r="AP6" s="23">
        <f t="shared" si="5"/>
        <v>13432.5</v>
      </c>
      <c r="AQ6" s="112">
        <f t="shared" si="5"/>
        <v>13432.5</v>
      </c>
    </row>
    <row r="7" spans="1:43" ht="12.75">
      <c r="A7" s="32"/>
      <c r="B7" s="26"/>
      <c r="C7" s="37"/>
      <c r="D7" s="37"/>
      <c r="E7" s="37"/>
      <c r="F7" s="108"/>
      <c r="H7" s="154"/>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155"/>
    </row>
    <row r="8" spans="1:43" ht="12.75">
      <c r="A8" s="32" t="s">
        <v>276</v>
      </c>
      <c r="B8" s="156"/>
      <c r="C8" s="23">
        <f>C66</f>
        <v>35000</v>
      </c>
      <c r="D8" s="23">
        <f>D66</f>
        <v>89000</v>
      </c>
      <c r="E8" s="23">
        <f>E66</f>
        <v>110680</v>
      </c>
      <c r="F8" s="108" t="str">
        <f>'Revenue - B-to-C'!F8</f>
        <v>year 1 launch</v>
      </c>
      <c r="H8" s="111">
        <f>C8/12</f>
        <v>2916.6666666666665</v>
      </c>
      <c r="I8" s="23">
        <f aca="true" t="shared" si="6" ref="I8:S8">$C$8/12</f>
        <v>2916.6666666666665</v>
      </c>
      <c r="J8" s="23">
        <f t="shared" si="6"/>
        <v>2916.6666666666665</v>
      </c>
      <c r="K8" s="23">
        <f t="shared" si="6"/>
        <v>2916.6666666666665</v>
      </c>
      <c r="L8" s="23">
        <f t="shared" si="6"/>
        <v>2916.6666666666665</v>
      </c>
      <c r="M8" s="23">
        <f t="shared" si="6"/>
        <v>2916.6666666666665</v>
      </c>
      <c r="N8" s="23">
        <f t="shared" si="6"/>
        <v>2916.6666666666665</v>
      </c>
      <c r="O8" s="23">
        <f t="shared" si="6"/>
        <v>2916.6666666666665</v>
      </c>
      <c r="P8" s="23">
        <f t="shared" si="6"/>
        <v>2916.6666666666665</v>
      </c>
      <c r="Q8" s="23">
        <f t="shared" si="6"/>
        <v>2916.6666666666665</v>
      </c>
      <c r="R8" s="23">
        <f t="shared" si="6"/>
        <v>2916.6666666666665</v>
      </c>
      <c r="S8" s="23">
        <f t="shared" si="6"/>
        <v>2916.6666666666665</v>
      </c>
      <c r="T8" s="23">
        <f aca="true" t="shared" si="7" ref="T8:AE8">$D$8/12</f>
        <v>7416.666666666667</v>
      </c>
      <c r="U8" s="23">
        <f t="shared" si="7"/>
        <v>7416.666666666667</v>
      </c>
      <c r="V8" s="23">
        <f t="shared" si="7"/>
        <v>7416.666666666667</v>
      </c>
      <c r="W8" s="23">
        <f t="shared" si="7"/>
        <v>7416.666666666667</v>
      </c>
      <c r="X8" s="23">
        <f t="shared" si="7"/>
        <v>7416.666666666667</v>
      </c>
      <c r="Y8" s="23">
        <f t="shared" si="7"/>
        <v>7416.666666666667</v>
      </c>
      <c r="Z8" s="23">
        <f t="shared" si="7"/>
        <v>7416.666666666667</v>
      </c>
      <c r="AA8" s="23">
        <f t="shared" si="7"/>
        <v>7416.666666666667</v>
      </c>
      <c r="AB8" s="23">
        <f t="shared" si="7"/>
        <v>7416.666666666667</v>
      </c>
      <c r="AC8" s="23">
        <f t="shared" si="7"/>
        <v>7416.666666666667</v>
      </c>
      <c r="AD8" s="23">
        <f t="shared" si="7"/>
        <v>7416.666666666667</v>
      </c>
      <c r="AE8" s="23">
        <f t="shared" si="7"/>
        <v>7416.666666666667</v>
      </c>
      <c r="AF8" s="23">
        <f aca="true" t="shared" si="8" ref="AF8:AQ8">$E$8/12</f>
        <v>9223.333333333334</v>
      </c>
      <c r="AG8" s="23">
        <f t="shared" si="8"/>
        <v>9223.333333333334</v>
      </c>
      <c r="AH8" s="23">
        <f t="shared" si="8"/>
        <v>9223.333333333334</v>
      </c>
      <c r="AI8" s="23">
        <f t="shared" si="8"/>
        <v>9223.333333333334</v>
      </c>
      <c r="AJ8" s="23">
        <f t="shared" si="8"/>
        <v>9223.333333333334</v>
      </c>
      <c r="AK8" s="23">
        <f t="shared" si="8"/>
        <v>9223.333333333334</v>
      </c>
      <c r="AL8" s="23">
        <f t="shared" si="8"/>
        <v>9223.333333333334</v>
      </c>
      <c r="AM8" s="23">
        <f t="shared" si="8"/>
        <v>9223.333333333334</v>
      </c>
      <c r="AN8" s="23">
        <f t="shared" si="8"/>
        <v>9223.333333333334</v>
      </c>
      <c r="AO8" s="23">
        <f t="shared" si="8"/>
        <v>9223.333333333334</v>
      </c>
      <c r="AP8" s="23">
        <f t="shared" si="8"/>
        <v>9223.333333333334</v>
      </c>
      <c r="AQ8" s="112">
        <f t="shared" si="8"/>
        <v>9223.333333333334</v>
      </c>
    </row>
    <row r="9" spans="1:43" ht="12.7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5" ht="12.75">
      <c r="A10" s="32" t="s">
        <v>277</v>
      </c>
      <c r="B10" s="26"/>
      <c r="C10" s="23">
        <f>C79</f>
        <v>67000</v>
      </c>
      <c r="D10" s="23">
        <f>D79</f>
        <v>72000</v>
      </c>
      <c r="E10" s="23">
        <f>E79</f>
        <v>72000</v>
      </c>
      <c r="F10" s="108" t="str">
        <f>'Revenue - B-to-C'!F10</f>
        <v>year 1 launch</v>
      </c>
      <c r="H10" s="111">
        <f>C10/12</f>
        <v>5583.333333333333</v>
      </c>
      <c r="I10" s="23">
        <f aca="true" t="shared" si="9" ref="I10:S10">$C$10/12</f>
        <v>5583.333333333333</v>
      </c>
      <c r="J10" s="23">
        <f t="shared" si="9"/>
        <v>5583.333333333333</v>
      </c>
      <c r="K10" s="23">
        <f t="shared" si="9"/>
        <v>5583.333333333333</v>
      </c>
      <c r="L10" s="23">
        <f t="shared" si="9"/>
        <v>5583.333333333333</v>
      </c>
      <c r="M10" s="23">
        <f t="shared" si="9"/>
        <v>5583.333333333333</v>
      </c>
      <c r="N10" s="23">
        <f t="shared" si="9"/>
        <v>5583.333333333333</v>
      </c>
      <c r="O10" s="23">
        <f t="shared" si="9"/>
        <v>5583.333333333333</v>
      </c>
      <c r="P10" s="23">
        <f t="shared" si="9"/>
        <v>5583.333333333333</v>
      </c>
      <c r="Q10" s="23">
        <f t="shared" si="9"/>
        <v>5583.333333333333</v>
      </c>
      <c r="R10" s="23">
        <f t="shared" si="9"/>
        <v>5583.333333333333</v>
      </c>
      <c r="S10" s="23">
        <f t="shared" si="9"/>
        <v>5583.333333333333</v>
      </c>
      <c r="T10" s="23">
        <f aca="true" t="shared" si="10" ref="T10:AE10">$D$10/12</f>
        <v>6000</v>
      </c>
      <c r="U10" s="23">
        <f t="shared" si="10"/>
        <v>6000</v>
      </c>
      <c r="V10" s="23">
        <f t="shared" si="10"/>
        <v>6000</v>
      </c>
      <c r="W10" s="23">
        <f t="shared" si="10"/>
        <v>6000</v>
      </c>
      <c r="X10" s="23">
        <f t="shared" si="10"/>
        <v>6000</v>
      </c>
      <c r="Y10" s="23">
        <f t="shared" si="10"/>
        <v>6000</v>
      </c>
      <c r="Z10" s="23">
        <f t="shared" si="10"/>
        <v>6000</v>
      </c>
      <c r="AA10" s="23">
        <f t="shared" si="10"/>
        <v>6000</v>
      </c>
      <c r="AB10" s="23">
        <f t="shared" si="10"/>
        <v>6000</v>
      </c>
      <c r="AC10" s="23">
        <f t="shared" si="10"/>
        <v>6000</v>
      </c>
      <c r="AD10" s="23">
        <f t="shared" si="10"/>
        <v>6000</v>
      </c>
      <c r="AE10" s="23">
        <f t="shared" si="10"/>
        <v>6000</v>
      </c>
      <c r="AF10" s="23">
        <f aca="true" t="shared" si="11" ref="AF10:AQ10">$E$10/12</f>
        <v>6000</v>
      </c>
      <c r="AG10" s="23">
        <f t="shared" si="11"/>
        <v>6000</v>
      </c>
      <c r="AH10" s="23">
        <f t="shared" si="11"/>
        <v>6000</v>
      </c>
      <c r="AI10" s="23">
        <f t="shared" si="11"/>
        <v>6000</v>
      </c>
      <c r="AJ10" s="23">
        <f t="shared" si="11"/>
        <v>6000</v>
      </c>
      <c r="AK10" s="23">
        <f t="shared" si="11"/>
        <v>6000</v>
      </c>
      <c r="AL10" s="23">
        <f t="shared" si="11"/>
        <v>6000</v>
      </c>
      <c r="AM10" s="23">
        <f t="shared" si="11"/>
        <v>6000</v>
      </c>
      <c r="AN10" s="23">
        <f t="shared" si="11"/>
        <v>6000</v>
      </c>
      <c r="AO10" s="23">
        <f t="shared" si="11"/>
        <v>6000</v>
      </c>
      <c r="AP10" s="23">
        <f t="shared" si="11"/>
        <v>6000</v>
      </c>
      <c r="AQ10" s="112">
        <f t="shared" si="11"/>
        <v>6000</v>
      </c>
      <c r="AR10" s="157"/>
      <c r="AS10" s="157"/>
    </row>
    <row r="11" spans="1:45" ht="12.75">
      <c r="A11" s="32"/>
      <c r="B11" s="26"/>
      <c r="C11" s="23"/>
      <c r="D11" s="23"/>
      <c r="E11" s="23"/>
      <c r="F11" s="108"/>
      <c r="H11" s="11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112"/>
      <c r="AR11" s="157"/>
      <c r="AS11" s="157"/>
    </row>
    <row r="12" spans="1:45" ht="12.75">
      <c r="A12" s="32" t="s">
        <v>278</v>
      </c>
      <c r="B12" s="26"/>
      <c r="C12" s="23">
        <f>C91</f>
        <v>23200</v>
      </c>
      <c r="D12" s="23">
        <f>D91</f>
        <v>29400</v>
      </c>
      <c r="E12" s="23">
        <f>E91</f>
        <v>36400</v>
      </c>
      <c r="F12" s="108" t="str">
        <f>'Revenue - B-to-C'!F12</f>
        <v>year 1 launch</v>
      </c>
      <c r="H12" s="111">
        <f>C12/12</f>
        <v>1933.3333333333333</v>
      </c>
      <c r="I12" s="23">
        <f aca="true" t="shared" si="12" ref="I12:S12">$C$12/12</f>
        <v>1933.3333333333333</v>
      </c>
      <c r="J12" s="23">
        <f t="shared" si="12"/>
        <v>1933.3333333333333</v>
      </c>
      <c r="K12" s="23">
        <f t="shared" si="12"/>
        <v>1933.3333333333333</v>
      </c>
      <c r="L12" s="23">
        <f t="shared" si="12"/>
        <v>1933.3333333333333</v>
      </c>
      <c r="M12" s="23">
        <f t="shared" si="12"/>
        <v>1933.3333333333333</v>
      </c>
      <c r="N12" s="23">
        <f t="shared" si="12"/>
        <v>1933.3333333333333</v>
      </c>
      <c r="O12" s="23">
        <f t="shared" si="12"/>
        <v>1933.3333333333333</v>
      </c>
      <c r="P12" s="23">
        <f t="shared" si="12"/>
        <v>1933.3333333333333</v>
      </c>
      <c r="Q12" s="23">
        <f t="shared" si="12"/>
        <v>1933.3333333333333</v>
      </c>
      <c r="R12" s="23">
        <f t="shared" si="12"/>
        <v>1933.3333333333333</v>
      </c>
      <c r="S12" s="23">
        <f t="shared" si="12"/>
        <v>1933.3333333333333</v>
      </c>
      <c r="T12" s="23">
        <f aca="true" t="shared" si="13" ref="T12:AE12">$D$12/12</f>
        <v>2450</v>
      </c>
      <c r="U12" s="23">
        <f t="shared" si="13"/>
        <v>2450</v>
      </c>
      <c r="V12" s="23">
        <f t="shared" si="13"/>
        <v>2450</v>
      </c>
      <c r="W12" s="23">
        <f t="shared" si="13"/>
        <v>2450</v>
      </c>
      <c r="X12" s="23">
        <f t="shared" si="13"/>
        <v>2450</v>
      </c>
      <c r="Y12" s="23">
        <f t="shared" si="13"/>
        <v>2450</v>
      </c>
      <c r="Z12" s="23">
        <f t="shared" si="13"/>
        <v>2450</v>
      </c>
      <c r="AA12" s="23">
        <f t="shared" si="13"/>
        <v>2450</v>
      </c>
      <c r="AB12" s="23">
        <f t="shared" si="13"/>
        <v>2450</v>
      </c>
      <c r="AC12" s="23">
        <f t="shared" si="13"/>
        <v>2450</v>
      </c>
      <c r="AD12" s="23">
        <f t="shared" si="13"/>
        <v>2450</v>
      </c>
      <c r="AE12" s="23">
        <f t="shared" si="13"/>
        <v>2450</v>
      </c>
      <c r="AF12" s="23">
        <f aca="true" t="shared" si="14" ref="AF12:AQ12">$E$12/12</f>
        <v>3033.3333333333335</v>
      </c>
      <c r="AG12" s="23">
        <f t="shared" si="14"/>
        <v>3033.3333333333335</v>
      </c>
      <c r="AH12" s="23">
        <f t="shared" si="14"/>
        <v>3033.3333333333335</v>
      </c>
      <c r="AI12" s="23">
        <f t="shared" si="14"/>
        <v>3033.3333333333335</v>
      </c>
      <c r="AJ12" s="23">
        <f t="shared" si="14"/>
        <v>3033.3333333333335</v>
      </c>
      <c r="AK12" s="23">
        <f t="shared" si="14"/>
        <v>3033.3333333333335</v>
      </c>
      <c r="AL12" s="23">
        <f t="shared" si="14"/>
        <v>3033.3333333333335</v>
      </c>
      <c r="AM12" s="23">
        <f t="shared" si="14"/>
        <v>3033.3333333333335</v>
      </c>
      <c r="AN12" s="23">
        <f t="shared" si="14"/>
        <v>3033.3333333333335</v>
      </c>
      <c r="AO12" s="23">
        <f t="shared" si="14"/>
        <v>3033.3333333333335</v>
      </c>
      <c r="AP12" s="23">
        <f t="shared" si="14"/>
        <v>3033.3333333333335</v>
      </c>
      <c r="AQ12" s="112">
        <f t="shared" si="14"/>
        <v>3033.3333333333335</v>
      </c>
      <c r="AR12" s="157"/>
      <c r="AS12" s="157"/>
    </row>
    <row r="13" spans="1:45" ht="12.7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2.75">
      <c r="A14" s="32" t="s">
        <v>279</v>
      </c>
      <c r="B14" s="26"/>
      <c r="C14" s="23">
        <f>C103</f>
        <v>7315.78947368421</v>
      </c>
      <c r="D14" s="23">
        <f>D103</f>
        <v>29263.15789473684</v>
      </c>
      <c r="E14" s="23">
        <f>E103</f>
        <v>109736.84210526316</v>
      </c>
      <c r="F14" s="108" t="str">
        <f>'Revenue - B-to-C'!F14</f>
        <v>year 1 launch</v>
      </c>
      <c r="H14" s="111">
        <f>C14/12</f>
        <v>609.6491228070175</v>
      </c>
      <c r="I14" s="23">
        <f>$C$14/12</f>
        <v>609.6491228070175</v>
      </c>
      <c r="J14" s="23">
        <f aca="true" t="shared" si="15" ref="J14:S14">$C$14/12</f>
        <v>609.6491228070175</v>
      </c>
      <c r="K14" s="23">
        <f t="shared" si="15"/>
        <v>609.6491228070175</v>
      </c>
      <c r="L14" s="23">
        <f t="shared" si="15"/>
        <v>609.6491228070175</v>
      </c>
      <c r="M14" s="23">
        <f t="shared" si="15"/>
        <v>609.6491228070175</v>
      </c>
      <c r="N14" s="23">
        <f t="shared" si="15"/>
        <v>609.6491228070175</v>
      </c>
      <c r="O14" s="23">
        <f t="shared" si="15"/>
        <v>609.6491228070175</v>
      </c>
      <c r="P14" s="23">
        <f t="shared" si="15"/>
        <v>609.6491228070175</v>
      </c>
      <c r="Q14" s="23">
        <f t="shared" si="15"/>
        <v>609.6491228070175</v>
      </c>
      <c r="R14" s="23">
        <f t="shared" si="15"/>
        <v>609.6491228070175</v>
      </c>
      <c r="S14" s="23">
        <f t="shared" si="15"/>
        <v>609.6491228070175</v>
      </c>
      <c r="T14" s="23">
        <f>$D$14/12</f>
        <v>2438.59649122807</v>
      </c>
      <c r="U14" s="23">
        <f aca="true" t="shared" si="16" ref="U14:AE14">$D$14/12</f>
        <v>2438.59649122807</v>
      </c>
      <c r="V14" s="23">
        <f t="shared" si="16"/>
        <v>2438.59649122807</v>
      </c>
      <c r="W14" s="23">
        <f t="shared" si="16"/>
        <v>2438.59649122807</v>
      </c>
      <c r="X14" s="23">
        <f t="shared" si="16"/>
        <v>2438.59649122807</v>
      </c>
      <c r="Y14" s="23">
        <f t="shared" si="16"/>
        <v>2438.59649122807</v>
      </c>
      <c r="Z14" s="23">
        <f t="shared" si="16"/>
        <v>2438.59649122807</v>
      </c>
      <c r="AA14" s="23">
        <f t="shared" si="16"/>
        <v>2438.59649122807</v>
      </c>
      <c r="AB14" s="23">
        <f t="shared" si="16"/>
        <v>2438.59649122807</v>
      </c>
      <c r="AC14" s="23">
        <f t="shared" si="16"/>
        <v>2438.59649122807</v>
      </c>
      <c r="AD14" s="23">
        <f t="shared" si="16"/>
        <v>2438.59649122807</v>
      </c>
      <c r="AE14" s="23">
        <f t="shared" si="16"/>
        <v>2438.59649122807</v>
      </c>
      <c r="AF14" s="23">
        <f>$E$14/12</f>
        <v>9144.736842105263</v>
      </c>
      <c r="AG14" s="23">
        <f aca="true" t="shared" si="17" ref="AG14:AQ14">$E$14/12</f>
        <v>9144.736842105263</v>
      </c>
      <c r="AH14" s="23">
        <f t="shared" si="17"/>
        <v>9144.736842105263</v>
      </c>
      <c r="AI14" s="23">
        <f t="shared" si="17"/>
        <v>9144.736842105263</v>
      </c>
      <c r="AJ14" s="23">
        <f t="shared" si="17"/>
        <v>9144.736842105263</v>
      </c>
      <c r="AK14" s="23">
        <f t="shared" si="17"/>
        <v>9144.736842105263</v>
      </c>
      <c r="AL14" s="23">
        <f t="shared" si="17"/>
        <v>9144.736842105263</v>
      </c>
      <c r="AM14" s="23">
        <f t="shared" si="17"/>
        <v>9144.736842105263</v>
      </c>
      <c r="AN14" s="23">
        <f t="shared" si="17"/>
        <v>9144.736842105263</v>
      </c>
      <c r="AO14" s="23">
        <f t="shared" si="17"/>
        <v>9144.736842105263</v>
      </c>
      <c r="AP14" s="23">
        <f t="shared" si="17"/>
        <v>9144.736842105263</v>
      </c>
      <c r="AQ14" s="112">
        <f t="shared" si="17"/>
        <v>9144.736842105263</v>
      </c>
      <c r="AR14" s="157"/>
      <c r="AS14" s="157"/>
    </row>
    <row r="15" spans="1:45" ht="12.7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2.75">
      <c r="A16" s="32" t="s">
        <v>280</v>
      </c>
      <c r="B16" s="26"/>
      <c r="C16" s="23">
        <f>C118</f>
        <v>0</v>
      </c>
      <c r="D16" s="23">
        <f>D118</f>
        <v>108142.32456140348</v>
      </c>
      <c r="E16" s="23">
        <f>E118</f>
        <v>331303.69736842107</v>
      </c>
      <c r="F16" s="108" t="str">
        <f>'Revenue - B-to-C'!F16</f>
        <v>year 2 launch</v>
      </c>
      <c r="H16" s="111">
        <f>C16/12</f>
        <v>0</v>
      </c>
      <c r="I16" s="23">
        <f aca="true" t="shared" si="18" ref="I16:S16">$C$16/12</f>
        <v>0</v>
      </c>
      <c r="J16" s="23">
        <f t="shared" si="18"/>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 aca="true" t="shared" si="19" ref="T16:AE16">$D$16/12</f>
        <v>9011.860380116957</v>
      </c>
      <c r="U16" s="23">
        <f t="shared" si="19"/>
        <v>9011.860380116957</v>
      </c>
      <c r="V16" s="23">
        <f t="shared" si="19"/>
        <v>9011.860380116957</v>
      </c>
      <c r="W16" s="23">
        <f t="shared" si="19"/>
        <v>9011.860380116957</v>
      </c>
      <c r="X16" s="23">
        <f t="shared" si="19"/>
        <v>9011.860380116957</v>
      </c>
      <c r="Y16" s="23">
        <f t="shared" si="19"/>
        <v>9011.860380116957</v>
      </c>
      <c r="Z16" s="23">
        <f t="shared" si="19"/>
        <v>9011.860380116957</v>
      </c>
      <c r="AA16" s="23">
        <f t="shared" si="19"/>
        <v>9011.860380116957</v>
      </c>
      <c r="AB16" s="23">
        <f t="shared" si="19"/>
        <v>9011.860380116957</v>
      </c>
      <c r="AC16" s="23">
        <f t="shared" si="19"/>
        <v>9011.860380116957</v>
      </c>
      <c r="AD16" s="23">
        <f t="shared" si="19"/>
        <v>9011.860380116957</v>
      </c>
      <c r="AE16" s="23">
        <f t="shared" si="19"/>
        <v>9011.860380116957</v>
      </c>
      <c r="AF16" s="23">
        <f aca="true" t="shared" si="20" ref="AF16:AQ16">$E$16/12</f>
        <v>27608.641447368424</v>
      </c>
      <c r="AG16" s="23">
        <f t="shared" si="20"/>
        <v>27608.641447368424</v>
      </c>
      <c r="AH16" s="23">
        <f t="shared" si="20"/>
        <v>27608.641447368424</v>
      </c>
      <c r="AI16" s="23">
        <f t="shared" si="20"/>
        <v>27608.641447368424</v>
      </c>
      <c r="AJ16" s="23">
        <f t="shared" si="20"/>
        <v>27608.641447368424</v>
      </c>
      <c r="AK16" s="23">
        <f t="shared" si="20"/>
        <v>27608.641447368424</v>
      </c>
      <c r="AL16" s="23">
        <f t="shared" si="20"/>
        <v>27608.641447368424</v>
      </c>
      <c r="AM16" s="23">
        <f t="shared" si="20"/>
        <v>27608.641447368424</v>
      </c>
      <c r="AN16" s="23">
        <f t="shared" si="20"/>
        <v>27608.641447368424</v>
      </c>
      <c r="AO16" s="23">
        <f t="shared" si="20"/>
        <v>27608.641447368424</v>
      </c>
      <c r="AP16" s="23">
        <f t="shared" si="20"/>
        <v>27608.641447368424</v>
      </c>
      <c r="AQ16" s="112">
        <f t="shared" si="20"/>
        <v>27608.641447368424</v>
      </c>
    </row>
    <row r="17" spans="1:43" ht="12.75">
      <c r="A17" s="32"/>
      <c r="B17" s="156"/>
      <c r="C17" s="26"/>
      <c r="D17" s="26"/>
      <c r="E17" s="26"/>
      <c r="F17" s="108"/>
      <c r="H17" s="32"/>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108"/>
    </row>
    <row r="18" spans="1:45" ht="12.75">
      <c r="A18" s="32" t="s">
        <v>281</v>
      </c>
      <c r="B18" s="26"/>
      <c r="C18" s="23">
        <f>C130</f>
        <v>0</v>
      </c>
      <c r="D18" s="23">
        <f>D130</f>
        <v>28833.333333333336</v>
      </c>
      <c r="E18" s="23">
        <f>E130</f>
        <v>35525</v>
      </c>
      <c r="F18" s="108" t="str">
        <f>'Revenue - B-to-C'!F18</f>
        <v>year 2 launch</v>
      </c>
      <c r="H18" s="111">
        <f>C18/12</f>
        <v>0</v>
      </c>
      <c r="I18" s="23">
        <f aca="true" t="shared" si="21" ref="I18:S18">$C$18/12</f>
        <v>0</v>
      </c>
      <c r="J18" s="23">
        <f t="shared" si="21"/>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 aca="true" t="shared" si="22" ref="T18:AE18">$D$18/12</f>
        <v>2402.777777777778</v>
      </c>
      <c r="U18" s="23">
        <f t="shared" si="22"/>
        <v>2402.777777777778</v>
      </c>
      <c r="V18" s="23">
        <f t="shared" si="22"/>
        <v>2402.777777777778</v>
      </c>
      <c r="W18" s="23">
        <f t="shared" si="22"/>
        <v>2402.777777777778</v>
      </c>
      <c r="X18" s="23">
        <f t="shared" si="22"/>
        <v>2402.777777777778</v>
      </c>
      <c r="Y18" s="23">
        <f t="shared" si="22"/>
        <v>2402.777777777778</v>
      </c>
      <c r="Z18" s="23">
        <f t="shared" si="22"/>
        <v>2402.777777777778</v>
      </c>
      <c r="AA18" s="23">
        <f t="shared" si="22"/>
        <v>2402.777777777778</v>
      </c>
      <c r="AB18" s="23">
        <f t="shared" si="22"/>
        <v>2402.777777777778</v>
      </c>
      <c r="AC18" s="23">
        <f t="shared" si="22"/>
        <v>2402.777777777778</v>
      </c>
      <c r="AD18" s="23">
        <f t="shared" si="22"/>
        <v>2402.777777777778</v>
      </c>
      <c r="AE18" s="23">
        <f t="shared" si="22"/>
        <v>2402.777777777778</v>
      </c>
      <c r="AF18" s="23">
        <f aca="true" t="shared" si="23" ref="AF18:AQ18">$E$18/12</f>
        <v>2960.4166666666665</v>
      </c>
      <c r="AG18" s="23">
        <f t="shared" si="23"/>
        <v>2960.4166666666665</v>
      </c>
      <c r="AH18" s="23">
        <f t="shared" si="23"/>
        <v>2960.4166666666665</v>
      </c>
      <c r="AI18" s="23">
        <f t="shared" si="23"/>
        <v>2960.4166666666665</v>
      </c>
      <c r="AJ18" s="23">
        <f t="shared" si="23"/>
        <v>2960.4166666666665</v>
      </c>
      <c r="AK18" s="23">
        <f t="shared" si="23"/>
        <v>2960.4166666666665</v>
      </c>
      <c r="AL18" s="23">
        <f t="shared" si="23"/>
        <v>2960.4166666666665</v>
      </c>
      <c r="AM18" s="23">
        <f t="shared" si="23"/>
        <v>2960.4166666666665</v>
      </c>
      <c r="AN18" s="23">
        <f t="shared" si="23"/>
        <v>2960.4166666666665</v>
      </c>
      <c r="AO18" s="23">
        <f t="shared" si="23"/>
        <v>2960.4166666666665</v>
      </c>
      <c r="AP18" s="23">
        <f t="shared" si="23"/>
        <v>2960.4166666666665</v>
      </c>
      <c r="AQ18" s="112">
        <f t="shared" si="23"/>
        <v>2960.4166666666665</v>
      </c>
      <c r="AR18" s="157"/>
      <c r="AS18" s="157"/>
    </row>
    <row r="19" spans="1:45" ht="12.7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5" ht="12.75">
      <c r="A20" s="32" t="s">
        <v>282</v>
      </c>
      <c r="B20" s="26"/>
      <c r="C20" s="23">
        <f>C143</f>
        <v>0</v>
      </c>
      <c r="D20" s="23">
        <f>D143</f>
        <v>-292010.375</v>
      </c>
      <c r="E20" s="23">
        <f>E143</f>
        <v>816862.1578124999</v>
      </c>
      <c r="F20" s="108" t="str">
        <f>'Revenue - B-to-C'!F20</f>
        <v>year 2 launch</v>
      </c>
      <c r="H20" s="111">
        <f>C20/12</f>
        <v>0</v>
      </c>
      <c r="I20" s="23">
        <f>$C$20/12</f>
        <v>0</v>
      </c>
      <c r="J20" s="23">
        <f aca="true" t="shared" si="24" ref="J20:S20">$C$20/12</f>
        <v>0</v>
      </c>
      <c r="K20" s="23">
        <f t="shared" si="24"/>
        <v>0</v>
      </c>
      <c r="L20" s="23">
        <f t="shared" si="24"/>
        <v>0</v>
      </c>
      <c r="M20" s="23">
        <f t="shared" si="24"/>
        <v>0</v>
      </c>
      <c r="N20" s="23">
        <f t="shared" si="24"/>
        <v>0</v>
      </c>
      <c r="O20" s="23">
        <f t="shared" si="24"/>
        <v>0</v>
      </c>
      <c r="P20" s="23">
        <f t="shared" si="24"/>
        <v>0</v>
      </c>
      <c r="Q20" s="23">
        <f t="shared" si="24"/>
        <v>0</v>
      </c>
      <c r="R20" s="23">
        <f t="shared" si="24"/>
        <v>0</v>
      </c>
      <c r="S20" s="23">
        <f t="shared" si="24"/>
        <v>0</v>
      </c>
      <c r="T20" s="23">
        <f>$D$20/12</f>
        <v>-24334.197916666668</v>
      </c>
      <c r="U20" s="23">
        <f aca="true" t="shared" si="25" ref="U20:AE20">$D$20/12</f>
        <v>-24334.197916666668</v>
      </c>
      <c r="V20" s="23">
        <f t="shared" si="25"/>
        <v>-24334.197916666668</v>
      </c>
      <c r="W20" s="23">
        <f t="shared" si="25"/>
        <v>-24334.197916666668</v>
      </c>
      <c r="X20" s="23">
        <f t="shared" si="25"/>
        <v>-24334.197916666668</v>
      </c>
      <c r="Y20" s="23">
        <f t="shared" si="25"/>
        <v>-24334.197916666668</v>
      </c>
      <c r="Z20" s="23">
        <f t="shared" si="25"/>
        <v>-24334.197916666668</v>
      </c>
      <c r="AA20" s="23">
        <f t="shared" si="25"/>
        <v>-24334.197916666668</v>
      </c>
      <c r="AB20" s="23">
        <f t="shared" si="25"/>
        <v>-24334.197916666668</v>
      </c>
      <c r="AC20" s="23">
        <f t="shared" si="25"/>
        <v>-24334.197916666668</v>
      </c>
      <c r="AD20" s="23">
        <f t="shared" si="25"/>
        <v>-24334.197916666668</v>
      </c>
      <c r="AE20" s="23">
        <f t="shared" si="25"/>
        <v>-24334.197916666668</v>
      </c>
      <c r="AF20" s="23">
        <f>$E$20/12</f>
        <v>68071.846484375</v>
      </c>
      <c r="AG20" s="23">
        <f aca="true" t="shared" si="26" ref="AG20:AQ20">$E$20/12</f>
        <v>68071.846484375</v>
      </c>
      <c r="AH20" s="23">
        <f t="shared" si="26"/>
        <v>68071.846484375</v>
      </c>
      <c r="AI20" s="23">
        <f t="shared" si="26"/>
        <v>68071.846484375</v>
      </c>
      <c r="AJ20" s="23">
        <f t="shared" si="26"/>
        <v>68071.846484375</v>
      </c>
      <c r="AK20" s="23">
        <f t="shared" si="26"/>
        <v>68071.846484375</v>
      </c>
      <c r="AL20" s="23">
        <f t="shared" si="26"/>
        <v>68071.846484375</v>
      </c>
      <c r="AM20" s="23">
        <f t="shared" si="26"/>
        <v>68071.846484375</v>
      </c>
      <c r="AN20" s="23">
        <f t="shared" si="26"/>
        <v>68071.846484375</v>
      </c>
      <c r="AO20" s="23">
        <f t="shared" si="26"/>
        <v>68071.846484375</v>
      </c>
      <c r="AP20" s="23">
        <f t="shared" si="26"/>
        <v>68071.846484375</v>
      </c>
      <c r="AQ20" s="112">
        <f t="shared" si="26"/>
        <v>68071.846484375</v>
      </c>
      <c r="AR20" s="157"/>
      <c r="AS20" s="157"/>
    </row>
    <row r="21" spans="1:43" ht="12.75">
      <c r="A21" s="32"/>
      <c r="B21" s="156"/>
      <c r="C21" s="26"/>
      <c r="D21" s="26"/>
      <c r="E21" s="26"/>
      <c r="F21" s="108"/>
      <c r="H21" s="3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108"/>
    </row>
    <row r="22" spans="1:43" ht="12.75">
      <c r="A22" s="32" t="s">
        <v>283</v>
      </c>
      <c r="B22" s="156"/>
      <c r="C22" s="153">
        <f>C155</f>
        <v>0</v>
      </c>
      <c r="D22" s="153">
        <f>D155</f>
        <v>14750</v>
      </c>
      <c r="E22" s="153">
        <f>E155</f>
        <v>64625</v>
      </c>
      <c r="F22" s="108" t="str">
        <f>'Revenue - B-to-C'!F22</f>
        <v>year 2 launch</v>
      </c>
      <c r="H22" s="158">
        <f>C22/12</f>
        <v>0</v>
      </c>
      <c r="I22" s="153">
        <f>$C$22/12</f>
        <v>0</v>
      </c>
      <c r="J22" s="153">
        <f aca="true" t="shared" si="27" ref="J22:S22">$C$22/12</f>
        <v>0</v>
      </c>
      <c r="K22" s="153">
        <f t="shared" si="27"/>
        <v>0</v>
      </c>
      <c r="L22" s="153">
        <f t="shared" si="27"/>
        <v>0</v>
      </c>
      <c r="M22" s="153">
        <f t="shared" si="27"/>
        <v>0</v>
      </c>
      <c r="N22" s="153">
        <f t="shared" si="27"/>
        <v>0</v>
      </c>
      <c r="O22" s="153">
        <f t="shared" si="27"/>
        <v>0</v>
      </c>
      <c r="P22" s="153">
        <f t="shared" si="27"/>
        <v>0</v>
      </c>
      <c r="Q22" s="153">
        <f t="shared" si="27"/>
        <v>0</v>
      </c>
      <c r="R22" s="153">
        <f t="shared" si="27"/>
        <v>0</v>
      </c>
      <c r="S22" s="153">
        <f t="shared" si="27"/>
        <v>0</v>
      </c>
      <c r="T22" s="153">
        <f>$D$22/12</f>
        <v>1229.1666666666667</v>
      </c>
      <c r="U22" s="153">
        <f aca="true" t="shared" si="28" ref="U22:AE22">$D$22/12</f>
        <v>1229.1666666666667</v>
      </c>
      <c r="V22" s="153">
        <f t="shared" si="28"/>
        <v>1229.1666666666667</v>
      </c>
      <c r="W22" s="153">
        <f t="shared" si="28"/>
        <v>1229.1666666666667</v>
      </c>
      <c r="X22" s="153">
        <f t="shared" si="28"/>
        <v>1229.1666666666667</v>
      </c>
      <c r="Y22" s="153">
        <f t="shared" si="28"/>
        <v>1229.1666666666667</v>
      </c>
      <c r="Z22" s="153">
        <f t="shared" si="28"/>
        <v>1229.1666666666667</v>
      </c>
      <c r="AA22" s="153">
        <f t="shared" si="28"/>
        <v>1229.1666666666667</v>
      </c>
      <c r="AB22" s="153">
        <f t="shared" si="28"/>
        <v>1229.1666666666667</v>
      </c>
      <c r="AC22" s="153">
        <f t="shared" si="28"/>
        <v>1229.1666666666667</v>
      </c>
      <c r="AD22" s="153">
        <f t="shared" si="28"/>
        <v>1229.1666666666667</v>
      </c>
      <c r="AE22" s="153">
        <f t="shared" si="28"/>
        <v>1229.1666666666667</v>
      </c>
      <c r="AF22" s="153">
        <f>$E$22/12</f>
        <v>5385.416666666667</v>
      </c>
      <c r="AG22" s="153">
        <f aca="true" t="shared" si="29" ref="AG22:AQ22">$E$22/12</f>
        <v>5385.416666666667</v>
      </c>
      <c r="AH22" s="153">
        <f t="shared" si="29"/>
        <v>5385.416666666667</v>
      </c>
      <c r="AI22" s="153">
        <f t="shared" si="29"/>
        <v>5385.416666666667</v>
      </c>
      <c r="AJ22" s="153">
        <f t="shared" si="29"/>
        <v>5385.416666666667</v>
      </c>
      <c r="AK22" s="153">
        <f t="shared" si="29"/>
        <v>5385.416666666667</v>
      </c>
      <c r="AL22" s="153">
        <f t="shared" si="29"/>
        <v>5385.416666666667</v>
      </c>
      <c r="AM22" s="153">
        <f t="shared" si="29"/>
        <v>5385.416666666667</v>
      </c>
      <c r="AN22" s="153">
        <f t="shared" si="29"/>
        <v>5385.416666666667</v>
      </c>
      <c r="AO22" s="153">
        <f t="shared" si="29"/>
        <v>5385.416666666667</v>
      </c>
      <c r="AP22" s="153">
        <f t="shared" si="29"/>
        <v>5385.416666666667</v>
      </c>
      <c r="AQ22" s="112">
        <f t="shared" si="29"/>
        <v>5385.416666666667</v>
      </c>
    </row>
    <row r="23" spans="1:43" ht="12.75">
      <c r="A23" s="32"/>
      <c r="B23" s="156"/>
      <c r="C23" s="26"/>
      <c r="D23" s="26"/>
      <c r="E23" s="26"/>
      <c r="F23" s="108"/>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108"/>
    </row>
    <row r="24" spans="1:43" ht="12.75">
      <c r="A24" s="32" t="s">
        <v>284</v>
      </c>
      <c r="B24" s="26"/>
      <c r="C24" s="23">
        <v>0</v>
      </c>
      <c r="D24" s="23">
        <v>0</v>
      </c>
      <c r="E24" s="23">
        <v>0</v>
      </c>
      <c r="F24" s="108" t="str">
        <f>'Revenue - B-to-C'!F24</f>
        <v>High cost of data collection</v>
      </c>
      <c r="H24" s="111">
        <f>C24/12</f>
        <v>0</v>
      </c>
      <c r="I24" s="23">
        <f>$C$24/12</f>
        <v>0</v>
      </c>
      <c r="J24" s="23">
        <f aca="true" t="shared" si="30" ref="J24:S24">$C$24/12</f>
        <v>0</v>
      </c>
      <c r="K24" s="23">
        <f t="shared" si="30"/>
        <v>0</v>
      </c>
      <c r="L24" s="23">
        <f t="shared" si="30"/>
        <v>0</v>
      </c>
      <c r="M24" s="23">
        <f t="shared" si="30"/>
        <v>0</v>
      </c>
      <c r="N24" s="23">
        <f t="shared" si="30"/>
        <v>0</v>
      </c>
      <c r="O24" s="23">
        <f t="shared" si="30"/>
        <v>0</v>
      </c>
      <c r="P24" s="23">
        <f t="shared" si="30"/>
        <v>0</v>
      </c>
      <c r="Q24" s="23">
        <f t="shared" si="30"/>
        <v>0</v>
      </c>
      <c r="R24" s="23">
        <f t="shared" si="30"/>
        <v>0</v>
      </c>
      <c r="S24" s="23">
        <f t="shared" si="30"/>
        <v>0</v>
      </c>
      <c r="T24" s="23">
        <f>$D$24/12</f>
        <v>0</v>
      </c>
      <c r="U24" s="23">
        <f aca="true" t="shared" si="31" ref="U24:AE24">$D$24/12</f>
        <v>0</v>
      </c>
      <c r="V24" s="23">
        <f t="shared" si="31"/>
        <v>0</v>
      </c>
      <c r="W24" s="23">
        <f t="shared" si="31"/>
        <v>0</v>
      </c>
      <c r="X24" s="23">
        <f t="shared" si="31"/>
        <v>0</v>
      </c>
      <c r="Y24" s="23">
        <f t="shared" si="31"/>
        <v>0</v>
      </c>
      <c r="Z24" s="23">
        <f t="shared" si="31"/>
        <v>0</v>
      </c>
      <c r="AA24" s="23">
        <f t="shared" si="31"/>
        <v>0</v>
      </c>
      <c r="AB24" s="23">
        <f t="shared" si="31"/>
        <v>0</v>
      </c>
      <c r="AC24" s="23">
        <f t="shared" si="31"/>
        <v>0</v>
      </c>
      <c r="AD24" s="23">
        <f t="shared" si="31"/>
        <v>0</v>
      </c>
      <c r="AE24" s="23">
        <f t="shared" si="31"/>
        <v>0</v>
      </c>
      <c r="AF24" s="23">
        <f>$E$24/12</f>
        <v>0</v>
      </c>
      <c r="AG24" s="23">
        <f aca="true" t="shared" si="32" ref="AG24:AQ24">$E$24/12</f>
        <v>0</v>
      </c>
      <c r="AH24" s="23">
        <f t="shared" si="32"/>
        <v>0</v>
      </c>
      <c r="AI24" s="23">
        <f t="shared" si="32"/>
        <v>0</v>
      </c>
      <c r="AJ24" s="23">
        <f t="shared" si="32"/>
        <v>0</v>
      </c>
      <c r="AK24" s="23">
        <f t="shared" si="32"/>
        <v>0</v>
      </c>
      <c r="AL24" s="23">
        <f t="shared" si="32"/>
        <v>0</v>
      </c>
      <c r="AM24" s="23">
        <f t="shared" si="32"/>
        <v>0</v>
      </c>
      <c r="AN24" s="23">
        <f t="shared" si="32"/>
        <v>0</v>
      </c>
      <c r="AO24" s="23">
        <f t="shared" si="32"/>
        <v>0</v>
      </c>
      <c r="AP24" s="23">
        <f t="shared" si="32"/>
        <v>0</v>
      </c>
      <c r="AQ24" s="112">
        <f t="shared" si="32"/>
        <v>0</v>
      </c>
    </row>
    <row r="25" spans="1:43" ht="12.75">
      <c r="A25" s="32"/>
      <c r="B25" s="26"/>
      <c r="C25" s="37"/>
      <c r="D25" s="37"/>
      <c r="E25" s="37"/>
      <c r="F25" s="108"/>
      <c r="H25" s="154"/>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155"/>
    </row>
    <row r="26" spans="1:43" s="138" customFormat="1" ht="13.5" thickBot="1">
      <c r="A26" s="159"/>
      <c r="B26" s="160"/>
      <c r="F26" s="161"/>
      <c r="H26" s="159"/>
      <c r="AQ26" s="161"/>
    </row>
    <row r="27" spans="1:43" ht="12.75">
      <c r="A27" s="32"/>
      <c r="B27" s="26"/>
      <c r="C27" s="26"/>
      <c r="D27" s="26"/>
      <c r="E27" s="26"/>
      <c r="F27" s="108"/>
      <c r="H27" s="111"/>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112"/>
    </row>
    <row r="28" spans="1:43" ht="12.75">
      <c r="A28" s="162" t="s">
        <v>341</v>
      </c>
      <c r="B28" s="26"/>
      <c r="C28" s="23">
        <f>SUM(C4:C25)</f>
        <v>302468.77192982455</v>
      </c>
      <c r="D28" s="23">
        <f>SUM(D4:D25)</f>
        <v>290786.7916666666</v>
      </c>
      <c r="E28" s="23">
        <f>SUM(E4:E25)</f>
        <v>1834188.802549342</v>
      </c>
      <c r="F28" s="108"/>
      <c r="H28" s="111">
        <f aca="true" t="shared" si="33" ref="H28:AQ28">SUM(H4:H25)</f>
        <v>25205.730994152047</v>
      </c>
      <c r="I28" s="23">
        <f t="shared" si="33"/>
        <v>25205.730994152047</v>
      </c>
      <c r="J28" s="23">
        <f t="shared" si="33"/>
        <v>25205.730994152047</v>
      </c>
      <c r="K28" s="23">
        <f t="shared" si="33"/>
        <v>25205.730994152047</v>
      </c>
      <c r="L28" s="23">
        <f t="shared" si="33"/>
        <v>25205.730994152047</v>
      </c>
      <c r="M28" s="23">
        <f t="shared" si="33"/>
        <v>25205.730994152047</v>
      </c>
      <c r="N28" s="23">
        <f t="shared" si="33"/>
        <v>25205.730994152047</v>
      </c>
      <c r="O28" s="23">
        <f t="shared" si="33"/>
        <v>25205.730994152047</v>
      </c>
      <c r="P28" s="23">
        <f t="shared" si="33"/>
        <v>25205.730994152047</v>
      </c>
      <c r="Q28" s="23">
        <f t="shared" si="33"/>
        <v>25205.730994152047</v>
      </c>
      <c r="R28" s="23">
        <f t="shared" si="33"/>
        <v>25205.730994152047</v>
      </c>
      <c r="S28" s="23">
        <f t="shared" si="33"/>
        <v>25205.730994152047</v>
      </c>
      <c r="T28" s="23">
        <f t="shared" si="33"/>
        <v>24232.23263888889</v>
      </c>
      <c r="U28" s="23">
        <f t="shared" si="33"/>
        <v>24232.23263888889</v>
      </c>
      <c r="V28" s="23">
        <f t="shared" si="33"/>
        <v>24232.23263888889</v>
      </c>
      <c r="W28" s="23">
        <f t="shared" si="33"/>
        <v>24232.23263888889</v>
      </c>
      <c r="X28" s="23">
        <f t="shared" si="33"/>
        <v>24232.23263888889</v>
      </c>
      <c r="Y28" s="23">
        <f t="shared" si="33"/>
        <v>24232.23263888889</v>
      </c>
      <c r="Z28" s="23">
        <f t="shared" si="33"/>
        <v>24232.23263888889</v>
      </c>
      <c r="AA28" s="23">
        <f t="shared" si="33"/>
        <v>24232.23263888889</v>
      </c>
      <c r="AB28" s="23">
        <f t="shared" si="33"/>
        <v>24232.23263888889</v>
      </c>
      <c r="AC28" s="23">
        <f t="shared" si="33"/>
        <v>24232.23263888889</v>
      </c>
      <c r="AD28" s="23">
        <f t="shared" si="33"/>
        <v>24232.23263888889</v>
      </c>
      <c r="AE28" s="23">
        <f t="shared" si="33"/>
        <v>24232.23263888889</v>
      </c>
      <c r="AF28" s="23">
        <f t="shared" si="33"/>
        <v>152849.06687911184</v>
      </c>
      <c r="AG28" s="23">
        <f t="shared" si="33"/>
        <v>152849.06687911184</v>
      </c>
      <c r="AH28" s="23">
        <f t="shared" si="33"/>
        <v>152849.06687911184</v>
      </c>
      <c r="AI28" s="23">
        <f t="shared" si="33"/>
        <v>152849.06687911184</v>
      </c>
      <c r="AJ28" s="23">
        <f t="shared" si="33"/>
        <v>152849.06687911184</v>
      </c>
      <c r="AK28" s="23">
        <f t="shared" si="33"/>
        <v>152849.06687911184</v>
      </c>
      <c r="AL28" s="23">
        <f t="shared" si="33"/>
        <v>152849.06687911184</v>
      </c>
      <c r="AM28" s="23">
        <f t="shared" si="33"/>
        <v>152849.06687911184</v>
      </c>
      <c r="AN28" s="23">
        <f t="shared" si="33"/>
        <v>152849.06687911184</v>
      </c>
      <c r="AO28" s="23">
        <f t="shared" si="33"/>
        <v>152849.06687911184</v>
      </c>
      <c r="AP28" s="23">
        <f t="shared" si="33"/>
        <v>152849.06687911184</v>
      </c>
      <c r="AQ28" s="112">
        <f t="shared" si="33"/>
        <v>152849.06687911184</v>
      </c>
    </row>
    <row r="29" spans="1:43" ht="13.5" thickBot="1">
      <c r="A29" s="159"/>
      <c r="B29" s="138"/>
      <c r="C29" s="138"/>
      <c r="D29" s="138"/>
      <c r="E29" s="138"/>
      <c r="F29" s="161"/>
      <c r="H29" s="159"/>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61"/>
    </row>
    <row r="33" s="103" customFormat="1" ht="12.75">
      <c r="A33" s="330" t="s">
        <v>219</v>
      </c>
    </row>
    <row r="34" spans="1:2" ht="12.75">
      <c r="A34" s="99"/>
      <c r="B34" s="25" t="s">
        <v>220</v>
      </c>
    </row>
    <row r="35" spans="1:2" ht="12.75">
      <c r="A35" s="99"/>
      <c r="B35" s="164" t="s">
        <v>221</v>
      </c>
    </row>
    <row r="37" spans="3:5" ht="12.75">
      <c r="C37" s="169" t="s">
        <v>319</v>
      </c>
      <c r="D37" s="169" t="s">
        <v>320</v>
      </c>
      <c r="E37" s="169" t="s">
        <v>321</v>
      </c>
    </row>
    <row r="39" spans="1:5" ht="12.75">
      <c r="A39" s="25" t="s">
        <v>520</v>
      </c>
      <c r="C39" s="23">
        <f>'Revenue - B-to-C'!C4</f>
        <v>17752.98245614035</v>
      </c>
      <c r="D39" s="23">
        <f>'Revenue - B-to-C'!D4</f>
        <v>49708.35087719299</v>
      </c>
      <c r="E39" s="23">
        <f>'Revenue - B-to-C'!E4</f>
        <v>95866.10526315788</v>
      </c>
    </row>
    <row r="40" spans="1:5" ht="12.75">
      <c r="A40" s="25" t="s">
        <v>521</v>
      </c>
      <c r="C40" s="23">
        <f>'Expenses- BtoC'!D47</f>
        <v>5000</v>
      </c>
      <c r="D40" s="23">
        <f>'Expenses- BtoC'!E47</f>
        <v>0</v>
      </c>
      <c r="E40" s="23">
        <f>'Expenses- BtoC'!F47</f>
        <v>0</v>
      </c>
    </row>
    <row r="41" spans="2:5" ht="12.75">
      <c r="B41" s="25" t="s">
        <v>341</v>
      </c>
      <c r="C41" s="136">
        <f>C39-C40</f>
        <v>12752.982456140351</v>
      </c>
      <c r="D41" s="136">
        <f>D39-D40</f>
        <v>49708.35087719299</v>
      </c>
      <c r="E41" s="136">
        <f>E39-E40</f>
        <v>95866.10526315788</v>
      </c>
    </row>
    <row r="45" s="103" customFormat="1" ht="12.75">
      <c r="A45" s="330" t="s">
        <v>227</v>
      </c>
    </row>
    <row r="46" spans="1:2" ht="12.75">
      <c r="A46" s="99"/>
      <c r="B46" s="25" t="s">
        <v>105</v>
      </c>
    </row>
    <row r="47" spans="1:2" ht="12.75">
      <c r="A47" s="99"/>
      <c r="B47" s="164" t="s">
        <v>106</v>
      </c>
    </row>
    <row r="49" spans="3:5" ht="12.75">
      <c r="C49" s="169" t="s">
        <v>319</v>
      </c>
      <c r="D49" s="169" t="s">
        <v>320</v>
      </c>
      <c r="E49" s="169" t="s">
        <v>321</v>
      </c>
    </row>
    <row r="50" ht="12.75">
      <c r="A50" s="99"/>
    </row>
    <row r="51" spans="1:43" ht="12.75">
      <c r="A51" s="25" t="s">
        <v>520</v>
      </c>
      <c r="C51" s="23">
        <f>'Revenue - B-to-C'!C6</f>
        <v>416000</v>
      </c>
      <c r="D51" s="23">
        <f>'Revenue - B-to-C'!D6</f>
        <v>416000</v>
      </c>
      <c r="E51" s="23">
        <f>'Revenue - B-to-C'!E6</f>
        <v>416000</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row>
    <row r="52" spans="1:43" ht="12.75">
      <c r="A52" s="25" t="s">
        <v>521</v>
      </c>
      <c r="C52" s="23">
        <f>'Expenses- BtoC'!D73</f>
        <v>258800</v>
      </c>
      <c r="D52" s="23">
        <f>'Expenses- BtoC'!E73</f>
        <v>254300</v>
      </c>
      <c r="E52" s="23">
        <f>'Expenses- BtoC'!F73</f>
        <v>254810</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2:43" ht="12.75">
      <c r="B53" s="25" t="s">
        <v>341</v>
      </c>
      <c r="C53" s="23">
        <f>C51-C52</f>
        <v>157200</v>
      </c>
      <c r="D53" s="23">
        <f>D51-D52</f>
        <v>161700</v>
      </c>
      <c r="E53" s="23">
        <f>E51-E52</f>
        <v>161190</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row>
    <row r="54" spans="1:3" ht="12.75">
      <c r="A54" s="99"/>
      <c r="C54" s="136"/>
    </row>
    <row r="57" s="103" customFormat="1" ht="12.75">
      <c r="A57" s="330" t="s">
        <v>113</v>
      </c>
    </row>
    <row r="58" spans="1:2" ht="12.75">
      <c r="A58" s="171"/>
      <c r="B58" s="25" t="s">
        <v>12</v>
      </c>
    </row>
    <row r="59" spans="1:2" ht="12.75">
      <c r="A59" s="171"/>
      <c r="B59" s="164" t="s">
        <v>13</v>
      </c>
    </row>
    <row r="60" spans="1:2" ht="12.75">
      <c r="A60" s="171"/>
      <c r="B60" s="164" t="s">
        <v>14</v>
      </c>
    </row>
    <row r="61" ht="12.75">
      <c r="A61" s="171"/>
    </row>
    <row r="62" spans="3:5" ht="12.75">
      <c r="C62" s="169" t="s">
        <v>319</v>
      </c>
      <c r="D62" s="169" t="s">
        <v>320</v>
      </c>
      <c r="E62" s="169" t="s">
        <v>321</v>
      </c>
    </row>
    <row r="64" spans="1:43" ht="12.75">
      <c r="A64" s="25" t="s">
        <v>520</v>
      </c>
      <c r="C64" s="23">
        <f>'Revenue - B-to-C'!C8</f>
        <v>165000</v>
      </c>
      <c r="D64" s="23">
        <f>'Revenue - B-to-C'!D8</f>
        <v>275000</v>
      </c>
      <c r="E64" s="23">
        <f>'Revenue - B-to-C'!E8</f>
        <v>330000</v>
      </c>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row>
    <row r="65" spans="1:43" ht="12.75">
      <c r="A65" s="25" t="s">
        <v>521</v>
      </c>
      <c r="C65" s="23">
        <f>'Expenses- BtoC'!D98</f>
        <v>130000</v>
      </c>
      <c r="D65" s="23">
        <f>'Expenses- BtoC'!E98</f>
        <v>186000</v>
      </c>
      <c r="E65" s="23">
        <f>'Expenses- BtoC'!F98</f>
        <v>219320</v>
      </c>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row>
    <row r="66" spans="2:43" ht="12.75">
      <c r="B66" s="25" t="s">
        <v>341</v>
      </c>
      <c r="C66" s="23">
        <f>C64-C65</f>
        <v>35000</v>
      </c>
      <c r="D66" s="23">
        <f>D64-D65</f>
        <v>89000</v>
      </c>
      <c r="E66" s="23">
        <f>E64-E65</f>
        <v>110680</v>
      </c>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row>
    <row r="69" spans="3:43" ht="12.75">
      <c r="C69" s="172"/>
      <c r="D69" s="172"/>
      <c r="E69" s="172"/>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row>
    <row r="70" s="103" customFormat="1" ht="12.75">
      <c r="A70" s="330" t="s">
        <v>26</v>
      </c>
    </row>
    <row r="71" spans="1:2" ht="12.75">
      <c r="A71" s="99"/>
      <c r="B71" s="25" t="s">
        <v>27</v>
      </c>
    </row>
    <row r="72" spans="1:2" ht="12.75">
      <c r="A72" s="99"/>
      <c r="B72" s="164" t="s">
        <v>28</v>
      </c>
    </row>
    <row r="73" spans="1:2" ht="12.75">
      <c r="A73" s="99"/>
      <c r="B73" s="164" t="s">
        <v>29</v>
      </c>
    </row>
    <row r="75" spans="3:5" ht="12.75">
      <c r="C75" s="169" t="s">
        <v>319</v>
      </c>
      <c r="D75" s="169" t="s">
        <v>320</v>
      </c>
      <c r="E75" s="169" t="s">
        <v>321</v>
      </c>
    </row>
    <row r="77" spans="1:43" ht="12.75">
      <c r="A77" s="25" t="s">
        <v>520</v>
      </c>
      <c r="C77" s="23">
        <f>'Revenue - B-to-C'!C10</f>
        <v>75000</v>
      </c>
      <c r="D77" s="23">
        <f>'Revenue - B-to-C'!D10</f>
        <v>75000</v>
      </c>
      <c r="E77" s="23">
        <f>'Revenue - B-to-C'!E10</f>
        <v>75000</v>
      </c>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row>
    <row r="78" spans="1:43" ht="12.75">
      <c r="A78" s="25" t="s">
        <v>521</v>
      </c>
      <c r="C78" s="23">
        <f>'Expenses- BtoC'!D117</f>
        <v>8000</v>
      </c>
      <c r="D78" s="23">
        <f>'Expenses- BtoC'!E117</f>
        <v>3000</v>
      </c>
      <c r="E78" s="23">
        <f>'Expenses- BtoC'!F117</f>
        <v>3000</v>
      </c>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row>
    <row r="79" spans="2:43" ht="12.75">
      <c r="B79" s="25" t="s">
        <v>341</v>
      </c>
      <c r="C79" s="23">
        <f>C77-C78</f>
        <v>67000</v>
      </c>
      <c r="D79" s="23">
        <f>D77-D78</f>
        <v>72000</v>
      </c>
      <c r="E79" s="23">
        <f>E77-E78</f>
        <v>72000</v>
      </c>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row>
    <row r="83" s="103" customFormat="1" ht="12.75">
      <c r="A83" s="330" t="s">
        <v>158</v>
      </c>
    </row>
    <row r="84" spans="1:2" ht="12.75">
      <c r="A84" s="99"/>
      <c r="B84" s="164" t="s">
        <v>159</v>
      </c>
    </row>
    <row r="85" spans="1:2" ht="12.75">
      <c r="A85" s="99"/>
      <c r="B85" s="164" t="s">
        <v>160</v>
      </c>
    </row>
    <row r="87" spans="3:5" ht="12.75">
      <c r="C87" s="169" t="s">
        <v>319</v>
      </c>
      <c r="D87" s="169" t="s">
        <v>320</v>
      </c>
      <c r="E87" s="169" t="s">
        <v>321</v>
      </c>
    </row>
    <row r="89" spans="1:43" ht="12.75">
      <c r="A89" s="25" t="s">
        <v>520</v>
      </c>
      <c r="C89" s="23">
        <f>'Revenue - B-to-C'!C12</f>
        <v>25200</v>
      </c>
      <c r="D89" s="23">
        <f>'Revenue - B-to-C'!D12</f>
        <v>29400</v>
      </c>
      <c r="E89" s="23">
        <f>'Revenue - B-to-C'!E12</f>
        <v>36400</v>
      </c>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row>
    <row r="90" spans="1:43" ht="12.75">
      <c r="A90" s="25" t="s">
        <v>521</v>
      </c>
      <c r="C90" s="23">
        <f>'Expenses- BtoC'!D135</f>
        <v>2000</v>
      </c>
      <c r="D90" s="23">
        <f>'Expenses- BtoC'!E135</f>
        <v>0</v>
      </c>
      <c r="E90" s="23">
        <f>'Expenses- BtoC'!F135</f>
        <v>0</v>
      </c>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row>
    <row r="91" spans="2:43" ht="12.75">
      <c r="B91" s="25" t="s">
        <v>341</v>
      </c>
      <c r="C91" s="23">
        <f>C89-C90</f>
        <v>23200</v>
      </c>
      <c r="D91" s="23">
        <f>D89-D90</f>
        <v>29400</v>
      </c>
      <c r="E91" s="23">
        <f>E89-E90</f>
        <v>36400</v>
      </c>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row>
    <row r="95" s="103" customFormat="1" ht="12.75">
      <c r="A95" s="330" t="s">
        <v>164</v>
      </c>
    </row>
    <row r="96" spans="1:2" ht="12.75">
      <c r="A96" s="99"/>
      <c r="B96" s="164" t="s">
        <v>165</v>
      </c>
    </row>
    <row r="97" spans="1:2" ht="12.75">
      <c r="A97" s="99"/>
      <c r="B97" s="164" t="s">
        <v>166</v>
      </c>
    </row>
    <row r="99" spans="3:5" ht="12.75">
      <c r="C99" s="169" t="s">
        <v>319</v>
      </c>
      <c r="D99" s="169" t="s">
        <v>320</v>
      </c>
      <c r="E99" s="169" t="s">
        <v>321</v>
      </c>
    </row>
    <row r="101" spans="1:43" ht="12.75">
      <c r="A101" s="25" t="s">
        <v>520</v>
      </c>
      <c r="C101" s="23">
        <f>'Revenue - B-to-C'!C14</f>
        <v>7315.78947368421</v>
      </c>
      <c r="D101" s="23">
        <f>'Revenue - B-to-C'!D14</f>
        <v>29263.15789473684</v>
      </c>
      <c r="E101" s="23">
        <f>'Revenue - B-to-C'!E14</f>
        <v>109736.84210526316</v>
      </c>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row>
    <row r="102" spans="1:43" ht="12.75">
      <c r="A102" s="25" t="s">
        <v>521</v>
      </c>
      <c r="C102" s="23">
        <f>'Expenses- BtoC'!D14</f>
        <v>0</v>
      </c>
      <c r="D102" s="23">
        <f>'Expenses- BtoC'!E14</f>
        <v>0</v>
      </c>
      <c r="E102" s="23">
        <f>'Expenses- BtoC'!F14</f>
        <v>0</v>
      </c>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row>
    <row r="103" spans="2:43" ht="12.75">
      <c r="B103" s="25" t="s">
        <v>341</v>
      </c>
      <c r="C103" s="23">
        <f>C101-C102</f>
        <v>7315.78947368421</v>
      </c>
      <c r="D103" s="23">
        <f>D101-D102</f>
        <v>29263.15789473684</v>
      </c>
      <c r="E103" s="23">
        <f>E101-E102</f>
        <v>109736.84210526316</v>
      </c>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row>
    <row r="107" s="103" customFormat="1" ht="12.75">
      <c r="A107" s="330" t="s">
        <v>522</v>
      </c>
    </row>
    <row r="108" spans="1:2" ht="12.75">
      <c r="A108" s="99"/>
      <c r="B108" s="25" t="s">
        <v>228</v>
      </c>
    </row>
    <row r="109" spans="1:2" ht="12.75">
      <c r="A109" s="99"/>
      <c r="B109" s="25" t="s">
        <v>232</v>
      </c>
    </row>
    <row r="110" spans="1:2" ht="12.75">
      <c r="A110" s="99"/>
      <c r="B110" s="164" t="s">
        <v>173</v>
      </c>
    </row>
    <row r="111" spans="1:2" ht="12.75">
      <c r="A111" s="99"/>
      <c r="B111" s="164" t="s">
        <v>174</v>
      </c>
    </row>
    <row r="112" spans="1:2" ht="12.75">
      <c r="A112" s="99"/>
      <c r="B112" s="164" t="s">
        <v>34</v>
      </c>
    </row>
    <row r="114" spans="3:5" ht="12.75">
      <c r="C114" s="169" t="s">
        <v>319</v>
      </c>
      <c r="D114" s="169" t="s">
        <v>320</v>
      </c>
      <c r="E114" s="169" t="s">
        <v>321</v>
      </c>
    </row>
    <row r="115" ht="12.75">
      <c r="H115" s="178"/>
    </row>
    <row r="116" spans="1:43" ht="12.75">
      <c r="A116" s="25" t="s">
        <v>520</v>
      </c>
      <c r="C116" s="23">
        <f>'Revenue - B-to-C'!C16</f>
        <v>0</v>
      </c>
      <c r="D116" s="23">
        <f>'Revenue - B-to-C'!D16</f>
        <v>177529.82456140348</v>
      </c>
      <c r="E116" s="23">
        <f>'Revenue - B-to-C'!E16</f>
        <v>397978.94736842107</v>
      </c>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row>
    <row r="117" spans="1:43" ht="12.75">
      <c r="A117" s="25" t="s">
        <v>521</v>
      </c>
      <c r="C117" s="23">
        <f>'Expenses- BtoC'!D175</f>
        <v>0</v>
      </c>
      <c r="D117" s="23">
        <f>'Expenses- BtoC'!E175</f>
        <v>69387.5</v>
      </c>
      <c r="E117" s="23">
        <f>'Expenses- BtoC'!F175</f>
        <v>66675.25</v>
      </c>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row>
    <row r="118" spans="2:43" ht="12.75">
      <c r="B118" s="25" t="s">
        <v>341</v>
      </c>
      <c r="C118" s="23">
        <f>C116-C117</f>
        <v>0</v>
      </c>
      <c r="D118" s="23">
        <f>D116-D117</f>
        <v>108142.32456140348</v>
      </c>
      <c r="E118" s="23">
        <f>E116-E117</f>
        <v>331303.69736842107</v>
      </c>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row>
    <row r="120" ht="12.75">
      <c r="H120" s="164"/>
    </row>
    <row r="121" ht="12.75">
      <c r="H121" s="164"/>
    </row>
    <row r="122" s="103" customFormat="1" ht="12.75">
      <c r="A122" s="330" t="s">
        <v>37</v>
      </c>
    </row>
    <row r="123" spans="1:2" ht="12.75">
      <c r="A123" s="99"/>
      <c r="B123" s="25" t="s">
        <v>331</v>
      </c>
    </row>
    <row r="124" spans="1:2" ht="12.75">
      <c r="A124" s="99"/>
      <c r="B124" s="178" t="s">
        <v>38</v>
      </c>
    </row>
    <row r="126" spans="3:5" ht="12.75">
      <c r="C126" s="169" t="s">
        <v>319</v>
      </c>
      <c r="D126" s="169" t="s">
        <v>320</v>
      </c>
      <c r="E126" s="169" t="s">
        <v>321</v>
      </c>
    </row>
    <row r="127" ht="12.75">
      <c r="A127" s="99"/>
    </row>
    <row r="128" spans="1:43" ht="12.75">
      <c r="A128" s="25" t="s">
        <v>520</v>
      </c>
      <c r="C128" s="23">
        <f>'Revenue - B-to-C'!C18</f>
        <v>0</v>
      </c>
      <c r="D128" s="23">
        <f>'Revenue - B-to-C'!D18</f>
        <v>33833.333333333336</v>
      </c>
      <c r="E128" s="23">
        <f>'Revenue - B-to-C'!E18</f>
        <v>35525</v>
      </c>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ht="12.75">
      <c r="A129" s="25" t="s">
        <v>521</v>
      </c>
      <c r="C129" s="23">
        <f>'Expenses- BtoC'!D193</f>
        <v>0</v>
      </c>
      <c r="D129" s="23">
        <f>'Expenses- BtoC'!E193</f>
        <v>5000</v>
      </c>
      <c r="E129" s="23">
        <f>'Expenses- BtoC'!F193</f>
        <v>0</v>
      </c>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2:43" ht="12.75">
      <c r="B130" s="25" t="s">
        <v>341</v>
      </c>
      <c r="C130" s="23">
        <f>C128-C129</f>
        <v>0</v>
      </c>
      <c r="D130" s="23">
        <f>D128-D129</f>
        <v>28833.333333333336</v>
      </c>
      <c r="E130" s="23">
        <f>E128-E129</f>
        <v>35525</v>
      </c>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4" s="103" customFormat="1" ht="12.75">
      <c r="A134" s="330" t="s">
        <v>81</v>
      </c>
    </row>
    <row r="135" spans="1:2" ht="12.75">
      <c r="A135" s="99"/>
      <c r="B135" s="164" t="s">
        <v>403</v>
      </c>
    </row>
    <row r="136" spans="1:2" ht="12.75">
      <c r="A136" s="99"/>
      <c r="B136" s="164" t="s">
        <v>82</v>
      </c>
    </row>
    <row r="137" spans="1:2" ht="12.75">
      <c r="A137" s="99"/>
      <c r="B137" s="164" t="s">
        <v>83</v>
      </c>
    </row>
    <row r="139" spans="3:43" ht="12.75">
      <c r="C139" s="169" t="s">
        <v>319</v>
      </c>
      <c r="D139" s="169" t="s">
        <v>320</v>
      </c>
      <c r="E139" s="169" t="s">
        <v>321</v>
      </c>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row>
    <row r="140" spans="8:43" ht="12.75">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row>
    <row r="141" spans="1:43" ht="12.75">
      <c r="A141" s="25" t="s">
        <v>520</v>
      </c>
      <c r="C141" s="23">
        <f>'Revenue - B-to-C'!C20</f>
        <v>0</v>
      </c>
      <c r="D141" s="23">
        <f>'Revenue - B-to-C'!D20</f>
        <v>843531</v>
      </c>
      <c r="E141" s="23">
        <f>'Revenue - B-to-C'!E20</f>
        <v>3560479.2375</v>
      </c>
      <c r="F141" s="182"/>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row>
    <row r="142" spans="1:43" ht="12.75">
      <c r="A142" s="25" t="s">
        <v>521</v>
      </c>
      <c r="C142" s="23">
        <f>'Expenses- BtoC'!D235</f>
        <v>0</v>
      </c>
      <c r="D142" s="23">
        <f>'Expenses- BtoC'!E235</f>
        <v>1135541.375</v>
      </c>
      <c r="E142" s="23">
        <f>'Expenses- BtoC'!F235</f>
        <v>2743617.0796875</v>
      </c>
      <c r="F142" s="182"/>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row>
    <row r="143" spans="2:43" ht="12.75">
      <c r="B143" s="25" t="s">
        <v>341</v>
      </c>
      <c r="C143" s="136">
        <f>C141-C142</f>
        <v>0</v>
      </c>
      <c r="D143" s="136">
        <f>D141-D142</f>
        <v>-292010.375</v>
      </c>
      <c r="E143" s="136">
        <f>E141-E142</f>
        <v>816862.1578124999</v>
      </c>
      <c r="F143" s="182"/>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row>
    <row r="144" spans="6:43" ht="12.75">
      <c r="F144" s="182"/>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row>
    <row r="145" spans="6:43" ht="12.75">
      <c r="F145" s="182"/>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row>
    <row r="146" spans="8:43" ht="12.75">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row>
    <row r="147" s="103" customFormat="1" ht="12.75">
      <c r="A147" s="330" t="s">
        <v>471</v>
      </c>
    </row>
    <row r="148" spans="1:2" ht="12.75">
      <c r="A148" s="99"/>
      <c r="B148" s="25" t="s">
        <v>472</v>
      </c>
    </row>
    <row r="149" spans="1:2" ht="12.75">
      <c r="A149" s="99"/>
      <c r="B149" s="164" t="s">
        <v>473</v>
      </c>
    </row>
    <row r="151" spans="3:43" ht="12.75">
      <c r="C151" s="169" t="s">
        <v>319</v>
      </c>
      <c r="D151" s="169" t="s">
        <v>320</v>
      </c>
      <c r="E151" s="169" t="s">
        <v>321</v>
      </c>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row>
    <row r="152" spans="8:43" ht="12.75">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row>
    <row r="153" spans="1:43" ht="12.75">
      <c r="A153" s="25" t="s">
        <v>520</v>
      </c>
      <c r="C153" s="23">
        <f>'Revenue - B-to-C'!C22</f>
        <v>0</v>
      </c>
      <c r="D153" s="23">
        <f>'Revenue - B-to-C'!D22</f>
        <v>49750</v>
      </c>
      <c r="E153" s="23">
        <f>'Revenue - B-to-C'!E22</f>
        <v>74625</v>
      </c>
      <c r="F153" s="182"/>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row>
    <row r="154" spans="1:43" ht="12.75">
      <c r="A154" s="25" t="s">
        <v>521</v>
      </c>
      <c r="C154" s="23">
        <f>'Expenses- BtoC'!D22</f>
        <v>0</v>
      </c>
      <c r="D154" s="23">
        <f>'Expenses- BtoC'!E22</f>
        <v>35000</v>
      </c>
      <c r="E154" s="23">
        <f>'Expenses- BtoC'!F22</f>
        <v>10000</v>
      </c>
      <c r="F154" s="182"/>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row>
    <row r="155" spans="2:43" ht="12.75">
      <c r="B155" s="25" t="s">
        <v>341</v>
      </c>
      <c r="C155" s="136">
        <f>C153-C154</f>
        <v>0</v>
      </c>
      <c r="D155" s="136">
        <f>D153-D154</f>
        <v>14750</v>
      </c>
      <c r="E155" s="136">
        <f>E153-E154</f>
        <v>64625</v>
      </c>
      <c r="F155" s="182"/>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row>
    <row r="156" spans="3:43" ht="12.75">
      <c r="C156" s="136"/>
      <c r="D156" s="136"/>
      <c r="E156" s="136"/>
      <c r="F156" s="182"/>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row>
    <row r="157" spans="3:43" ht="12.75">
      <c r="C157" s="136"/>
      <c r="D157" s="136"/>
      <c r="E157" s="136"/>
      <c r="F157" s="182"/>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row>
    <row r="158" spans="8:43" ht="12.75">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row>
    <row r="159" s="103" customFormat="1" ht="12.75">
      <c r="A159" s="330" t="s">
        <v>481</v>
      </c>
    </row>
    <row r="160" spans="1:2" ht="12.75">
      <c r="A160" s="99"/>
      <c r="B160" s="164" t="s">
        <v>482</v>
      </c>
    </row>
    <row r="161" spans="1:2" ht="12.75">
      <c r="A161" s="99"/>
      <c r="B161" s="164" t="s">
        <v>483</v>
      </c>
    </row>
    <row r="162" spans="1:2" ht="12.75">
      <c r="A162" s="99"/>
      <c r="B162" s="164" t="s">
        <v>484</v>
      </c>
    </row>
    <row r="163" spans="1:2" ht="12.75">
      <c r="A163" s="99"/>
      <c r="B163" s="164" t="s">
        <v>485</v>
      </c>
    </row>
    <row r="165" spans="3:5" ht="12.75">
      <c r="C165" s="169" t="s">
        <v>319</v>
      </c>
      <c r="D165" s="169" t="s">
        <v>320</v>
      </c>
      <c r="E165" s="169" t="s">
        <v>321</v>
      </c>
    </row>
    <row r="167" spans="1:43" ht="12.75">
      <c r="A167" s="25" t="s">
        <v>520</v>
      </c>
      <c r="C167" s="23">
        <f>'Revenue - B-to-C'!C24</f>
        <v>0</v>
      </c>
      <c r="D167" s="23">
        <f>'Revenue - B-to-C'!D24</f>
        <v>0</v>
      </c>
      <c r="E167" s="23">
        <f>'Revenue - B-to-C'!E24</f>
        <v>0</v>
      </c>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row>
    <row r="168" spans="1:43" ht="12.75">
      <c r="A168" s="25" t="s">
        <v>521</v>
      </c>
      <c r="C168" s="23">
        <f>'Expenses- BtoC'!D269</f>
        <v>0</v>
      </c>
      <c r="D168" s="23">
        <f>'Expenses- BtoC'!E269</f>
        <v>0</v>
      </c>
      <c r="E168" s="23">
        <f>'Expenses- BtoC'!F269</f>
        <v>0</v>
      </c>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row>
    <row r="169" spans="2:43" ht="12.75">
      <c r="B169" s="25" t="s">
        <v>341</v>
      </c>
      <c r="C169" s="23">
        <f>C167-C168</f>
        <v>0</v>
      </c>
      <c r="D169" s="23">
        <f>D167-D168</f>
        <v>0</v>
      </c>
      <c r="E169" s="23">
        <f>E167-E168</f>
        <v>0</v>
      </c>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row>
    <row r="173" spans="8:43" ht="12.75">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row>
    <row r="174" spans="8:43" ht="12.75">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AR223"/>
  <sheetViews>
    <sheetView zoomScale="110" zoomScaleNormal="110" workbookViewId="0" topLeftCell="A1">
      <selection activeCell="J216" sqref="J216"/>
    </sheetView>
  </sheetViews>
  <sheetFormatPr defaultColWidth="8.8515625" defaultRowHeight="12.75"/>
  <cols>
    <col min="1" max="1" width="4.28125" style="25" customWidth="1"/>
    <col min="2" max="2" width="3.7109375" style="25" customWidth="1"/>
    <col min="3" max="3" width="38.28125" style="25" bestFit="1" customWidth="1"/>
    <col min="4" max="5" width="11.8515625" style="25" customWidth="1"/>
    <col min="6" max="6" width="12.00390625" style="25" customWidth="1"/>
    <col min="7" max="7" width="12.8515625" style="25" customWidth="1"/>
    <col min="8" max="8" width="1.7109375" style="25" customWidth="1"/>
    <col min="9" max="9" width="11.00390625" style="25" customWidth="1"/>
    <col min="10" max="14" width="12.140625" style="25" customWidth="1"/>
    <col min="15" max="44" width="13.7109375" style="25" customWidth="1"/>
    <col min="45" max="16384" width="11.421875" style="25" customWidth="1"/>
  </cols>
  <sheetData>
    <row r="1" ht="13.5" thickBot="1"/>
    <row r="2" spans="1:10" ht="12.75">
      <c r="A2" s="48"/>
      <c r="B2" s="270" t="s">
        <v>462</v>
      </c>
      <c r="C2" s="231"/>
      <c r="D2" s="328" t="s">
        <v>319</v>
      </c>
      <c r="E2" s="328" t="s">
        <v>320</v>
      </c>
      <c r="F2" s="328" t="s">
        <v>321</v>
      </c>
      <c r="G2" s="328" t="s">
        <v>330</v>
      </c>
      <c r="H2" s="231"/>
      <c r="I2" s="231"/>
      <c r="J2" s="232"/>
    </row>
    <row r="3" spans="1:10" ht="12.75">
      <c r="A3" s="48"/>
      <c r="B3" s="32"/>
      <c r="C3" s="26"/>
      <c r="D3" s="26"/>
      <c r="E3" s="26"/>
      <c r="F3" s="26"/>
      <c r="G3" s="26"/>
      <c r="H3" s="26"/>
      <c r="I3" s="26"/>
      <c r="J3" s="108"/>
    </row>
    <row r="4" spans="1:10" ht="12.75">
      <c r="A4" s="48"/>
      <c r="B4" s="32" t="s">
        <v>287</v>
      </c>
      <c r="C4" s="156"/>
      <c r="D4" s="23">
        <f>D57</f>
        <v>103495</v>
      </c>
      <c r="E4" s="23">
        <f>E57</f>
        <v>169145</v>
      </c>
      <c r="F4" s="23">
        <f>F57</f>
        <v>241947.5</v>
      </c>
      <c r="G4" s="26" t="str">
        <f>'Revenue - B-to-B'!F4</f>
        <v>year 1 launch</v>
      </c>
      <c r="H4" s="26"/>
      <c r="I4" s="26"/>
      <c r="J4" s="108"/>
    </row>
    <row r="5" spans="1:10" ht="12.75">
      <c r="A5" s="48"/>
      <c r="B5" s="32"/>
      <c r="C5" s="156"/>
      <c r="D5" s="26"/>
      <c r="E5" s="26"/>
      <c r="F5" s="26"/>
      <c r="G5" s="26"/>
      <c r="H5" s="26"/>
      <c r="I5" s="26"/>
      <c r="J5" s="108"/>
    </row>
    <row r="6" spans="1:10" ht="12.75">
      <c r="A6" s="48"/>
      <c r="B6" s="32" t="s">
        <v>430</v>
      </c>
      <c r="C6" s="26"/>
      <c r="D6" s="23">
        <f>D83</f>
        <v>223000</v>
      </c>
      <c r="E6" s="23">
        <f>E83</f>
        <v>284000</v>
      </c>
      <c r="F6" s="23">
        <f>F83</f>
        <v>347270</v>
      </c>
      <c r="G6" s="26" t="str">
        <f>'Revenue - B-to-B'!F6</f>
        <v>year 1 launch</v>
      </c>
      <c r="H6" s="26"/>
      <c r="I6" s="26"/>
      <c r="J6" s="108"/>
    </row>
    <row r="7" spans="1:10" ht="12.75">
      <c r="A7" s="48"/>
      <c r="B7" s="32"/>
      <c r="C7" s="26"/>
      <c r="D7" s="23"/>
      <c r="E7" s="23"/>
      <c r="F7" s="23"/>
      <c r="G7" s="26"/>
      <c r="H7" s="26"/>
      <c r="I7" s="26"/>
      <c r="J7" s="108"/>
    </row>
    <row r="8" spans="1:10" ht="12.75">
      <c r="A8" s="48"/>
      <c r="B8" s="32" t="s">
        <v>288</v>
      </c>
      <c r="C8" s="26"/>
      <c r="D8" s="23">
        <f>D105</f>
        <v>215000</v>
      </c>
      <c r="E8" s="23">
        <f>E105</f>
        <v>168100</v>
      </c>
      <c r="F8" s="23">
        <f>F105</f>
        <v>171262</v>
      </c>
      <c r="G8" s="26" t="str">
        <f>'Revenue - B-to-B'!F8</f>
        <v>year 1 launch</v>
      </c>
      <c r="H8" s="26"/>
      <c r="I8" s="26"/>
      <c r="J8" s="108"/>
    </row>
    <row r="9" spans="1:10" ht="12.75">
      <c r="A9" s="48"/>
      <c r="B9" s="32"/>
      <c r="C9" s="156"/>
      <c r="D9" s="26"/>
      <c r="E9" s="26"/>
      <c r="F9" s="26"/>
      <c r="G9" s="26"/>
      <c r="H9" s="26"/>
      <c r="I9" s="26"/>
      <c r="J9" s="108"/>
    </row>
    <row r="10" spans="1:10" ht="12.75">
      <c r="A10" s="48"/>
      <c r="B10" s="32" t="s">
        <v>175</v>
      </c>
      <c r="C10" s="26"/>
      <c r="D10" s="23">
        <f>D126</f>
        <v>0</v>
      </c>
      <c r="E10" s="23">
        <f>E126</f>
        <v>0</v>
      </c>
      <c r="F10" s="23">
        <f>F126</f>
        <v>0</v>
      </c>
      <c r="G10" s="26" t="str">
        <f>'Revenue - B-to-B'!F10</f>
        <v>Don't do due to strong competition</v>
      </c>
      <c r="H10" s="26"/>
      <c r="I10" s="26"/>
      <c r="J10" s="108"/>
    </row>
    <row r="11" spans="1:10" ht="12.75">
      <c r="A11" s="48"/>
      <c r="B11" s="32"/>
      <c r="C11" s="26"/>
      <c r="D11" s="37"/>
      <c r="E11" s="37"/>
      <c r="F11" s="37"/>
      <c r="G11" s="26"/>
      <c r="H11" s="26"/>
      <c r="I11" s="26"/>
      <c r="J11" s="108"/>
    </row>
    <row r="12" spans="1:10" ht="12.75">
      <c r="A12" s="48"/>
      <c r="B12" s="32" t="s">
        <v>176</v>
      </c>
      <c r="C12" s="26"/>
      <c r="D12" s="23">
        <f>D161</f>
        <v>0</v>
      </c>
      <c r="E12" s="23">
        <f>E161</f>
        <v>196450</v>
      </c>
      <c r="F12" s="23">
        <f>F161</f>
        <v>174850</v>
      </c>
      <c r="G12" s="26" t="str">
        <f>'Revenue - B-to-B'!F12</f>
        <v>year 2 launch</v>
      </c>
      <c r="H12" s="26"/>
      <c r="I12" s="26"/>
      <c r="J12" s="108"/>
    </row>
    <row r="13" spans="1:10" ht="12.75">
      <c r="A13" s="48"/>
      <c r="B13" s="32"/>
      <c r="C13" s="26"/>
      <c r="D13" s="23"/>
      <c r="E13" s="23"/>
      <c r="F13" s="23"/>
      <c r="G13" s="26"/>
      <c r="H13" s="26"/>
      <c r="I13" s="26"/>
      <c r="J13" s="108"/>
    </row>
    <row r="14" spans="1:10" ht="12.75">
      <c r="A14" s="48"/>
      <c r="B14" s="32" t="s">
        <v>177</v>
      </c>
      <c r="C14" s="26"/>
      <c r="D14" s="23">
        <f>D179</f>
        <v>0</v>
      </c>
      <c r="E14" s="23">
        <f>E179</f>
        <v>41000</v>
      </c>
      <c r="F14" s="23">
        <f>F179</f>
        <v>54000</v>
      </c>
      <c r="G14" s="26" t="str">
        <f>'Revenue - B-to-B'!F14</f>
        <v>year 2 launch</v>
      </c>
      <c r="H14" s="26"/>
      <c r="I14" s="26"/>
      <c r="J14" s="108"/>
    </row>
    <row r="15" spans="1:10" ht="12.75">
      <c r="A15" s="48"/>
      <c r="B15" s="32"/>
      <c r="C15" s="26"/>
      <c r="D15" s="23"/>
      <c r="E15" s="23"/>
      <c r="F15" s="23"/>
      <c r="G15" s="26"/>
      <c r="H15" s="26"/>
      <c r="I15" s="26"/>
      <c r="J15" s="108"/>
    </row>
    <row r="16" spans="1:10" ht="12.75">
      <c r="A16" s="48"/>
      <c r="B16" s="32" t="s">
        <v>178</v>
      </c>
      <c r="C16" s="26"/>
      <c r="D16" s="23">
        <f>D200</f>
        <v>0</v>
      </c>
      <c r="E16" s="23">
        <f>E200</f>
        <v>0</v>
      </c>
      <c r="F16" s="23">
        <f>F200</f>
        <v>0</v>
      </c>
      <c r="G16" s="26" t="str">
        <f>'Revenue - B-to-B'!F16</f>
        <v>Not included in this model</v>
      </c>
      <c r="H16" s="26"/>
      <c r="I16" s="26"/>
      <c r="J16" s="108"/>
    </row>
    <row r="17" spans="1:10" ht="12.75">
      <c r="A17" s="48"/>
      <c r="B17" s="32"/>
      <c r="C17" s="26"/>
      <c r="D17" s="37"/>
      <c r="E17" s="37"/>
      <c r="F17" s="37"/>
      <c r="G17" s="26"/>
      <c r="H17" s="26"/>
      <c r="I17" s="26"/>
      <c r="J17" s="108"/>
    </row>
    <row r="18" spans="1:10" ht="12.75">
      <c r="A18" s="48"/>
      <c r="B18" s="32" t="s">
        <v>179</v>
      </c>
      <c r="C18" s="26"/>
      <c r="D18" s="23">
        <f>D219</f>
        <v>0</v>
      </c>
      <c r="E18" s="23">
        <f>E219</f>
        <v>0</v>
      </c>
      <c r="F18" s="23">
        <f>F219</f>
        <v>0</v>
      </c>
      <c r="G18" s="26" t="str">
        <f>'Revenue - B-to-B'!F18</f>
        <v>Not included in this model</v>
      </c>
      <c r="H18" s="26"/>
      <c r="I18" s="26"/>
      <c r="J18" s="108"/>
    </row>
    <row r="19" spans="1:10" ht="12.75">
      <c r="A19" s="48"/>
      <c r="B19" s="32"/>
      <c r="C19" s="26"/>
      <c r="D19" s="23"/>
      <c r="E19" s="23"/>
      <c r="F19" s="23"/>
      <c r="G19" s="26"/>
      <c r="H19" s="26"/>
      <c r="I19" s="26"/>
      <c r="J19" s="108"/>
    </row>
    <row r="20" spans="1:10" ht="13.5" thickBot="1">
      <c r="A20" s="48"/>
      <c r="B20" s="159"/>
      <c r="C20" s="160"/>
      <c r="D20" s="138"/>
      <c r="E20" s="138"/>
      <c r="F20" s="138"/>
      <c r="G20" s="138"/>
      <c r="H20" s="138"/>
      <c r="I20" s="138"/>
      <c r="J20" s="161"/>
    </row>
    <row r="21" spans="1:10" ht="12.75">
      <c r="A21" s="48"/>
      <c r="B21" s="32"/>
      <c r="C21" s="26"/>
      <c r="D21" s="26"/>
      <c r="E21" s="26"/>
      <c r="F21" s="26"/>
      <c r="G21" s="26"/>
      <c r="H21" s="26"/>
      <c r="I21" s="26"/>
      <c r="J21" s="108"/>
    </row>
    <row r="22" spans="1:10" ht="12.75">
      <c r="A22" s="48"/>
      <c r="B22" s="162" t="s">
        <v>147</v>
      </c>
      <c r="C22" s="26"/>
      <c r="D22" s="23">
        <f>SUM(D4:D19)</f>
        <v>541495</v>
      </c>
      <c r="E22" s="23">
        <f>SUM(E4:E19)</f>
        <v>858695</v>
      </c>
      <c r="F22" s="23">
        <f>SUM(F4:F19)</f>
        <v>989329.5</v>
      </c>
      <c r="G22" s="26"/>
      <c r="H22" s="26"/>
      <c r="I22" s="26"/>
      <c r="J22" s="108"/>
    </row>
    <row r="23" spans="1:10" ht="13.5" thickBot="1">
      <c r="A23" s="48"/>
      <c r="B23" s="159"/>
      <c r="C23" s="138"/>
      <c r="D23" s="138"/>
      <c r="E23" s="138"/>
      <c r="F23" s="138"/>
      <c r="G23" s="138"/>
      <c r="H23" s="138"/>
      <c r="I23" s="138"/>
      <c r="J23" s="161"/>
    </row>
    <row r="24" spans="1:7" ht="12.75">
      <c r="A24" s="48"/>
      <c r="B24" s="48"/>
      <c r="C24" s="55"/>
      <c r="E24" s="132"/>
      <c r="F24" s="141"/>
      <c r="G24" s="132"/>
    </row>
    <row r="25" spans="1:7" ht="12.75">
      <c r="A25" s="48"/>
      <c r="B25" s="48"/>
      <c r="C25" s="55"/>
      <c r="E25" s="132"/>
      <c r="F25" s="141"/>
      <c r="G25" s="132"/>
    </row>
    <row r="26" spans="1:7" ht="12.75">
      <c r="A26" s="48"/>
      <c r="B26" s="48"/>
      <c r="C26" s="55"/>
      <c r="E26" s="132"/>
      <c r="F26" s="141"/>
      <c r="G26" s="132"/>
    </row>
    <row r="27" spans="1:8" ht="12.75">
      <c r="A27" s="197" t="s">
        <v>434</v>
      </c>
      <c r="B27" s="167"/>
      <c r="H27" s="164"/>
    </row>
    <row r="28" spans="1:8" ht="12.75">
      <c r="A28" s="171"/>
      <c r="B28" s="25" t="s">
        <v>192</v>
      </c>
      <c r="H28" s="164"/>
    </row>
    <row r="29" spans="1:8" ht="12.75">
      <c r="A29" s="171"/>
      <c r="B29" s="25" t="s">
        <v>232</v>
      </c>
      <c r="H29" s="164"/>
    </row>
    <row r="30" spans="1:2" ht="12.75">
      <c r="A30" s="171"/>
      <c r="B30" s="164" t="s">
        <v>173</v>
      </c>
    </row>
    <row r="31" ht="12.75">
      <c r="B31" s="164" t="s">
        <v>174</v>
      </c>
    </row>
    <row r="32" ht="12.75">
      <c r="B32" s="164" t="s">
        <v>34</v>
      </c>
    </row>
    <row r="33" ht="12.75">
      <c r="B33" s="164" t="s">
        <v>435</v>
      </c>
    </row>
    <row r="34" ht="13.5" thickBot="1"/>
    <row r="35" spans="2:8" ht="12.75">
      <c r="B35" s="70" t="s">
        <v>197</v>
      </c>
      <c r="C35" s="71"/>
      <c r="D35" s="71"/>
      <c r="E35" s="71"/>
      <c r="F35" s="331"/>
      <c r="H35" s="164"/>
    </row>
    <row r="36" spans="2:10" ht="12.75">
      <c r="B36" s="16"/>
      <c r="C36" s="48"/>
      <c r="D36" s="55" t="s">
        <v>319</v>
      </c>
      <c r="E36" s="55" t="s">
        <v>320</v>
      </c>
      <c r="F36" s="130" t="s">
        <v>321</v>
      </c>
      <c r="J36" s="48"/>
    </row>
    <row r="37" spans="2:6" ht="12.75">
      <c r="B37" s="16"/>
      <c r="C37" s="48" t="s">
        <v>524</v>
      </c>
      <c r="D37" s="84">
        <v>6000</v>
      </c>
      <c r="E37" s="84">
        <v>6000</v>
      </c>
      <c r="F37" s="85">
        <v>6000</v>
      </c>
    </row>
    <row r="38" spans="2:10" ht="12.75">
      <c r="B38" s="16"/>
      <c r="C38" s="48"/>
      <c r="D38" s="55"/>
      <c r="E38" s="55"/>
      <c r="F38" s="130"/>
      <c r="H38" s="164"/>
      <c r="J38" s="48"/>
    </row>
    <row r="39" spans="2:10" ht="12.75">
      <c r="B39" s="16"/>
      <c r="C39" s="48" t="s">
        <v>542</v>
      </c>
      <c r="D39" s="86">
        <v>5000</v>
      </c>
      <c r="E39" s="86">
        <v>5000</v>
      </c>
      <c r="F39" s="87">
        <v>5000</v>
      </c>
      <c r="H39" s="164"/>
      <c r="J39" s="17"/>
    </row>
    <row r="40" spans="2:10" ht="12.75">
      <c r="B40" s="16"/>
      <c r="C40" s="17" t="s">
        <v>409</v>
      </c>
      <c r="D40" s="74">
        <v>0.25</v>
      </c>
      <c r="E40" s="74">
        <v>0.25</v>
      </c>
      <c r="F40" s="75">
        <v>0.25</v>
      </c>
      <c r="J40" s="17"/>
    </row>
    <row r="41" spans="2:10" ht="12.75">
      <c r="B41" s="16"/>
      <c r="D41" s="55"/>
      <c r="E41" s="55"/>
      <c r="F41" s="130"/>
      <c r="H41" s="164"/>
      <c r="J41" s="17"/>
    </row>
    <row r="42" spans="2:10" ht="12.75">
      <c r="B42" s="16"/>
      <c r="C42" s="17" t="s">
        <v>410</v>
      </c>
      <c r="D42" s="183">
        <f>Staffing!K140</f>
        <v>63125</v>
      </c>
      <c r="E42" s="183">
        <f>Staffing!L140</f>
        <v>128775</v>
      </c>
      <c r="F42" s="184">
        <f>Staffing!M140</f>
        <v>201577.5</v>
      </c>
      <c r="H42" s="164"/>
      <c r="J42" s="17"/>
    </row>
    <row r="43" spans="2:10" ht="12.75">
      <c r="B43" s="16"/>
      <c r="C43" s="17"/>
      <c r="D43" s="183"/>
      <c r="E43" s="183"/>
      <c r="F43" s="184"/>
      <c r="H43" s="164"/>
      <c r="J43" s="17"/>
    </row>
    <row r="44" spans="2:10" ht="12.75">
      <c r="B44" s="16"/>
      <c r="C44" s="8" t="s">
        <v>529</v>
      </c>
      <c r="D44" s="76">
        <v>0.3</v>
      </c>
      <c r="E44" s="76">
        <v>0.3</v>
      </c>
      <c r="F44" s="69">
        <v>0.3</v>
      </c>
      <c r="H44" s="164"/>
      <c r="J44" s="48"/>
    </row>
    <row r="45" spans="2:10" ht="12.75">
      <c r="B45" s="16"/>
      <c r="C45" s="17" t="s">
        <v>530</v>
      </c>
      <c r="D45" s="183">
        <f>D44*('Revenue - B-to-B'!C68*'Revenue - B-to-B'!C69*'Revenue - B-to-B'!C70)</f>
        <v>3120</v>
      </c>
      <c r="E45" s="183">
        <f>E44*('Revenue - B-to-B'!D68*'Revenue - B-to-B'!D69*'Revenue - B-to-B'!D70)</f>
        <v>3120</v>
      </c>
      <c r="F45" s="184">
        <f>F44*('Revenue - B-to-B'!E68*'Revenue - B-to-B'!E69*'Revenue - B-to-B'!E70)</f>
        <v>3120</v>
      </c>
      <c r="H45" s="164"/>
      <c r="J45" s="48"/>
    </row>
    <row r="46" spans="2:10" ht="12.75">
      <c r="B46" s="16"/>
      <c r="D46" s="183"/>
      <c r="E46" s="183"/>
      <c r="F46" s="184"/>
      <c r="H46" s="164"/>
      <c r="J46" s="48"/>
    </row>
    <row r="47" spans="2:10" ht="12.75">
      <c r="B47" s="16"/>
      <c r="C47" s="8" t="s">
        <v>531</v>
      </c>
      <c r="D47" s="84">
        <v>6000</v>
      </c>
      <c r="E47" s="84">
        <v>6000</v>
      </c>
      <c r="F47" s="85">
        <v>6000</v>
      </c>
      <c r="H47" s="164"/>
      <c r="J47" s="48"/>
    </row>
    <row r="48" spans="2:10" ht="12.75">
      <c r="B48" s="16"/>
      <c r="D48" s="183"/>
      <c r="E48" s="183"/>
      <c r="F48" s="184"/>
      <c r="H48" s="164"/>
      <c r="J48" s="48"/>
    </row>
    <row r="49" spans="2:10" ht="12.75">
      <c r="B49" s="16"/>
      <c r="C49" s="17" t="s">
        <v>533</v>
      </c>
      <c r="D49" s="84">
        <v>9000</v>
      </c>
      <c r="E49" s="84">
        <v>9000</v>
      </c>
      <c r="F49" s="85">
        <v>9000</v>
      </c>
      <c r="H49" s="164"/>
      <c r="J49" s="17"/>
    </row>
    <row r="50" spans="2:10" ht="12.75">
      <c r="B50" s="16"/>
      <c r="C50" s="17" t="s">
        <v>463</v>
      </c>
      <c r="D50" s="84">
        <v>5</v>
      </c>
      <c r="E50" s="84">
        <v>5</v>
      </c>
      <c r="F50" s="85">
        <v>5</v>
      </c>
      <c r="H50" s="164"/>
      <c r="J50" s="17"/>
    </row>
    <row r="51" spans="2:10" ht="12.75">
      <c r="B51" s="16"/>
      <c r="C51" s="17" t="s">
        <v>342</v>
      </c>
      <c r="D51" s="183">
        <f>D50*'Revenue - B-to-B'!C62*'Revenue - B-to-B'!C63*'Revenue - B-to-B'!C64</f>
        <v>15000</v>
      </c>
      <c r="E51" s="183">
        <f>E50*'Revenue - B-to-B'!D62*'Revenue - B-to-B'!D63*'Revenue - B-to-B'!D64</f>
        <v>15000</v>
      </c>
      <c r="F51" s="184">
        <f>F50*'Revenue - B-to-B'!E62*'Revenue - B-to-B'!E63*'Revenue - B-to-B'!E64</f>
        <v>15000</v>
      </c>
      <c r="H51" s="164"/>
      <c r="J51" s="17"/>
    </row>
    <row r="52" spans="2:6" ht="12.75">
      <c r="B52" s="16"/>
      <c r="C52" s="17"/>
      <c r="D52" s="17"/>
      <c r="E52" s="17"/>
      <c r="F52" s="18"/>
    </row>
    <row r="53" spans="2:6" ht="13.5" thickBot="1">
      <c r="B53" s="19"/>
      <c r="C53" s="20"/>
      <c r="D53" s="20"/>
      <c r="E53" s="20"/>
      <c r="F53" s="21"/>
    </row>
    <row r="55" spans="4:6" ht="12.75">
      <c r="D55" s="169" t="s">
        <v>319</v>
      </c>
      <c r="E55" s="169" t="s">
        <v>320</v>
      </c>
      <c r="F55" s="169" t="s">
        <v>321</v>
      </c>
    </row>
    <row r="56" ht="12.75">
      <c r="B56" s="99"/>
    </row>
    <row r="57" spans="2:43" ht="12.75">
      <c r="B57" s="25" t="s">
        <v>287</v>
      </c>
      <c r="D57" s="23">
        <f>D37+(D39*D40)+D42+((D45+D47+D49+D51)*'Revenue - B-to-B'!C62)</f>
        <v>103495</v>
      </c>
      <c r="E57" s="23">
        <f>E37+(E39*E40)+E42+((E45+E47+E49+E51)*'Revenue - B-to-B'!D62)</f>
        <v>169145</v>
      </c>
      <c r="F57" s="23">
        <f>F37+(F39*F40)+F42+((F45+F47+F49+F51)*'Revenue - B-to-B'!E62)</f>
        <v>241947.5</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row>
    <row r="58" spans="1:3" ht="12.75">
      <c r="A58" s="99"/>
      <c r="C58" s="136"/>
    </row>
    <row r="61" spans="1:2" ht="12.75">
      <c r="A61" s="197" t="s">
        <v>553</v>
      </c>
      <c r="B61" s="167"/>
    </row>
    <row r="62" spans="1:2" ht="12.75">
      <c r="A62" s="99"/>
      <c r="B62" s="25" t="s">
        <v>554</v>
      </c>
    </row>
    <row r="63" spans="1:2" ht="12.75">
      <c r="A63" s="99"/>
      <c r="B63" s="164" t="s">
        <v>555</v>
      </c>
    </row>
    <row r="64" spans="1:2" ht="12.75">
      <c r="A64" s="99"/>
      <c r="B64" s="164" t="s">
        <v>556</v>
      </c>
    </row>
    <row r="65" spans="1:2" ht="12.75">
      <c r="A65" s="99"/>
      <c r="B65" s="164" t="s">
        <v>557</v>
      </c>
    </row>
    <row r="66" ht="13.5" thickBot="1"/>
    <row r="67" spans="2:6" ht="12.75">
      <c r="B67" s="70" t="s">
        <v>197</v>
      </c>
      <c r="C67" s="71"/>
      <c r="D67" s="71"/>
      <c r="E67" s="71"/>
      <c r="F67" s="331"/>
    </row>
    <row r="68" spans="2:6" ht="12.75">
      <c r="B68" s="16"/>
      <c r="C68" s="48"/>
      <c r="D68" s="55" t="s">
        <v>319</v>
      </c>
      <c r="E68" s="55" t="s">
        <v>320</v>
      </c>
      <c r="F68" s="130" t="s">
        <v>321</v>
      </c>
    </row>
    <row r="69" spans="2:43" ht="12.75">
      <c r="B69" s="16"/>
      <c r="C69" s="48" t="s">
        <v>524</v>
      </c>
      <c r="D69" s="84">
        <v>5000</v>
      </c>
      <c r="E69" s="84">
        <v>5000</v>
      </c>
      <c r="F69" s="85">
        <v>5000</v>
      </c>
      <c r="H69" s="30"/>
      <c r="I69" s="30"/>
      <c r="J69" s="48"/>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2:10" ht="12.75">
      <c r="B70" s="16"/>
      <c r="C70" s="26"/>
      <c r="D70" s="11"/>
      <c r="E70" s="11"/>
      <c r="F70" s="166"/>
      <c r="J70" s="26"/>
    </row>
    <row r="71" spans="2:10" ht="12.75">
      <c r="B71" s="16"/>
      <c r="C71" s="26" t="s">
        <v>528</v>
      </c>
      <c r="D71" s="183">
        <f>Staffing!K146</f>
        <v>50000</v>
      </c>
      <c r="E71" s="183">
        <f>Staffing!L146</f>
        <v>51000</v>
      </c>
      <c r="F71" s="184">
        <f>Staffing!M146</f>
        <v>52020</v>
      </c>
      <c r="J71" s="26"/>
    </row>
    <row r="72" spans="2:10" ht="12.75">
      <c r="B72" s="16"/>
      <c r="C72" s="26"/>
      <c r="D72" s="11"/>
      <c r="E72" s="11"/>
      <c r="F72" s="166"/>
      <c r="J72" s="26"/>
    </row>
    <row r="73" spans="2:10" ht="12.75">
      <c r="B73" s="179">
        <v>0.05</v>
      </c>
      <c r="C73" s="48" t="s">
        <v>343</v>
      </c>
      <c r="D73" s="84">
        <v>10000</v>
      </c>
      <c r="E73" s="183">
        <f>D73*(1+B73)</f>
        <v>10500</v>
      </c>
      <c r="F73" s="184">
        <f>E73*(1+B73)</f>
        <v>11025</v>
      </c>
      <c r="J73" s="48"/>
    </row>
    <row r="74" spans="2:10" ht="12.75">
      <c r="B74" s="179">
        <v>0.05</v>
      </c>
      <c r="C74" s="48" t="s">
        <v>344</v>
      </c>
      <c r="D74" s="84">
        <v>10000</v>
      </c>
      <c r="E74" s="183">
        <f>D74*(1+B74)</f>
        <v>10500</v>
      </c>
      <c r="F74" s="184">
        <f>E74*(1+B74)</f>
        <v>11025</v>
      </c>
      <c r="J74" s="48"/>
    </row>
    <row r="75" spans="2:10" ht="12.75">
      <c r="B75" s="16"/>
      <c r="C75" s="165"/>
      <c r="D75" s="11"/>
      <c r="E75" s="11"/>
      <c r="F75" s="166"/>
      <c r="J75" s="165"/>
    </row>
    <row r="76" spans="2:10" ht="12.75">
      <c r="B76" s="16"/>
      <c r="C76" s="165" t="s">
        <v>538</v>
      </c>
      <c r="D76" s="76">
        <v>0.2</v>
      </c>
      <c r="E76" s="76">
        <v>0.2</v>
      </c>
      <c r="F76" s="69">
        <v>0.2</v>
      </c>
      <c r="J76" s="165"/>
    </row>
    <row r="77" spans="2:10" ht="12.75">
      <c r="B77" s="16"/>
      <c r="C77" s="165" t="s">
        <v>345</v>
      </c>
      <c r="D77" s="183">
        <f>D76*('Revenue - B-to-B'!C91*'Revenue - B-to-B'!C92*'Revenue - B-to-B'!C96*'Revenue - B-to-B'!C107)</f>
        <v>36000</v>
      </c>
      <c r="E77" s="183">
        <f>E76*('Revenue - B-to-B'!D91*'Revenue - B-to-B'!D92*'Revenue - B-to-B'!D96*'Revenue - B-to-B'!D107)</f>
        <v>36000</v>
      </c>
      <c r="F77" s="184">
        <f>F76*('Revenue - B-to-B'!E91*'Revenue - B-to-B'!E92*'Revenue - B-to-B'!E96*'Revenue - B-to-B'!E107)</f>
        <v>36000</v>
      </c>
      <c r="J77" s="165"/>
    </row>
    <row r="78" spans="2:10" ht="12.75">
      <c r="B78" s="16"/>
      <c r="C78" s="17"/>
      <c r="D78" s="17"/>
      <c r="E78" s="17"/>
      <c r="F78" s="18"/>
      <c r="J78" s="165"/>
    </row>
    <row r="79" spans="2:10" ht="13.5" thickBot="1">
      <c r="B79" s="19"/>
      <c r="C79" s="20"/>
      <c r="D79" s="20"/>
      <c r="E79" s="20"/>
      <c r="F79" s="21"/>
      <c r="J79" s="165"/>
    </row>
    <row r="81" spans="4:6" ht="12.75">
      <c r="D81" s="169" t="s">
        <v>319</v>
      </c>
      <c r="E81" s="169" t="s">
        <v>320</v>
      </c>
      <c r="F81" s="169" t="s">
        <v>321</v>
      </c>
    </row>
    <row r="82" ht="12.75">
      <c r="B82" s="99"/>
    </row>
    <row r="83" spans="2:43" ht="12.75">
      <c r="B83" s="25" t="s">
        <v>276</v>
      </c>
      <c r="D83" s="23">
        <f>D69+D71+((D73+D74+D77)*'Revenue - B-to-B'!C102)</f>
        <v>223000</v>
      </c>
      <c r="E83" s="23">
        <f>E69+E71+((E73+E74+E77)*'Revenue - B-to-B'!D102)</f>
        <v>284000</v>
      </c>
      <c r="F83" s="23">
        <f>F69+F71+((F73+F74+F77)*'Revenue - B-to-B'!E102)</f>
        <v>347270</v>
      </c>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row>
    <row r="87" spans="1:7" ht="12.75">
      <c r="A87" s="197" t="s">
        <v>349</v>
      </c>
      <c r="B87" s="167"/>
      <c r="C87" s="55"/>
      <c r="E87" s="132"/>
      <c r="F87" s="141"/>
      <c r="G87" s="132"/>
    </row>
    <row r="88" spans="1:7" ht="12.75">
      <c r="A88" s="99"/>
      <c r="B88" s="25" t="s">
        <v>289</v>
      </c>
      <c r="C88" s="55"/>
      <c r="E88" s="132"/>
      <c r="F88" s="141"/>
      <c r="G88" s="132"/>
    </row>
    <row r="89" spans="1:2" ht="12.75">
      <c r="A89" s="99"/>
      <c r="B89" s="25" t="s">
        <v>200</v>
      </c>
    </row>
    <row r="90" spans="1:2" ht="12.75">
      <c r="A90" s="99"/>
      <c r="B90" s="25" t="s">
        <v>201</v>
      </c>
    </row>
    <row r="91" spans="1:2" ht="12.75">
      <c r="A91" s="99"/>
      <c r="B91" s="164" t="s">
        <v>350</v>
      </c>
    </row>
    <row r="92" ht="13.5" thickBot="1"/>
    <row r="93" spans="2:6" ht="12.75">
      <c r="B93" s="70" t="s">
        <v>197</v>
      </c>
      <c r="C93" s="71"/>
      <c r="D93" s="71"/>
      <c r="E93" s="71"/>
      <c r="F93" s="331"/>
    </row>
    <row r="94" spans="2:6" ht="12.75">
      <c r="B94" s="16"/>
      <c r="C94" s="48"/>
      <c r="D94" s="55" t="s">
        <v>319</v>
      </c>
      <c r="E94" s="55" t="s">
        <v>320</v>
      </c>
      <c r="F94" s="130" t="s">
        <v>321</v>
      </c>
    </row>
    <row r="95" spans="2:6" ht="12.75">
      <c r="B95" s="16"/>
      <c r="C95" s="165" t="s">
        <v>524</v>
      </c>
      <c r="D95" s="84">
        <v>50000</v>
      </c>
      <c r="E95" s="191"/>
      <c r="F95" s="192"/>
    </row>
    <row r="96" spans="2:6" ht="12.75">
      <c r="B96" s="16"/>
      <c r="C96" s="17"/>
      <c r="D96" s="173"/>
      <c r="E96" s="173"/>
      <c r="F96" s="174"/>
    </row>
    <row r="97" spans="2:6" ht="12.75">
      <c r="B97" s="16"/>
      <c r="C97" s="17" t="s">
        <v>410</v>
      </c>
      <c r="D97" s="183">
        <f>Staffing!K153</f>
        <v>155000</v>
      </c>
      <c r="E97" s="183">
        <f>Staffing!L153</f>
        <v>158100</v>
      </c>
      <c r="F97" s="184">
        <f>Staffing!M153</f>
        <v>161262</v>
      </c>
    </row>
    <row r="98" spans="2:6" ht="12.75">
      <c r="B98" s="16"/>
      <c r="C98" s="17"/>
      <c r="D98" s="183"/>
      <c r="E98" s="183"/>
      <c r="F98" s="184"/>
    </row>
    <row r="99" spans="2:6" ht="12.75">
      <c r="B99" s="16"/>
      <c r="C99" s="17" t="s">
        <v>423</v>
      </c>
      <c r="D99" s="84">
        <v>10000</v>
      </c>
      <c r="E99" s="84">
        <v>10000</v>
      </c>
      <c r="F99" s="85">
        <v>10000</v>
      </c>
    </row>
    <row r="100" spans="2:6" ht="12.75">
      <c r="B100" s="16"/>
      <c r="C100" s="17"/>
      <c r="D100" s="12"/>
      <c r="E100" s="12"/>
      <c r="F100" s="168"/>
    </row>
    <row r="101" spans="2:6" ht="13.5" thickBot="1">
      <c r="B101" s="19"/>
      <c r="C101" s="20"/>
      <c r="D101" s="20"/>
      <c r="E101" s="20"/>
      <c r="F101" s="21"/>
    </row>
    <row r="103" spans="4:6" ht="12.75">
      <c r="D103" s="169" t="s">
        <v>319</v>
      </c>
      <c r="E103" s="169" t="s">
        <v>320</v>
      </c>
      <c r="F103" s="169" t="s">
        <v>321</v>
      </c>
    </row>
    <row r="105" spans="2:6" ht="12.75">
      <c r="B105" s="25" t="s">
        <v>288</v>
      </c>
      <c r="D105" s="23">
        <f>D95+D97+D99</f>
        <v>215000</v>
      </c>
      <c r="E105" s="23">
        <f>E95+E97+E99</f>
        <v>168100</v>
      </c>
      <c r="F105" s="23">
        <f>F95+F97+F99</f>
        <v>171262</v>
      </c>
    </row>
    <row r="109" spans="1:2" ht="12.75">
      <c r="A109" s="197" t="s">
        <v>492</v>
      </c>
      <c r="B109" s="167"/>
    </row>
    <row r="110" spans="1:2" ht="12.75">
      <c r="A110" s="99"/>
      <c r="B110" s="164" t="s">
        <v>193</v>
      </c>
    </row>
    <row r="111" spans="1:2" ht="12.75">
      <c r="A111" s="99"/>
      <c r="B111" s="25" t="s">
        <v>313</v>
      </c>
    </row>
    <row r="112" spans="1:2" ht="12.75">
      <c r="A112" s="99"/>
      <c r="B112" s="164" t="s">
        <v>346</v>
      </c>
    </row>
    <row r="113" spans="1:2" ht="12.75">
      <c r="A113" s="99"/>
      <c r="B113" s="164" t="s">
        <v>494</v>
      </c>
    </row>
    <row r="114" spans="1:2" ht="12.75">
      <c r="A114" s="99"/>
      <c r="B114" s="204" t="s">
        <v>495</v>
      </c>
    </row>
    <row r="115" spans="1:2" ht="12.75">
      <c r="A115" s="99"/>
      <c r="B115" s="178" t="s">
        <v>496</v>
      </c>
    </row>
    <row r="116" ht="13.5" thickBot="1">
      <c r="A116" s="171"/>
    </row>
    <row r="117" spans="2:6" ht="12.75">
      <c r="B117" s="70" t="s">
        <v>197</v>
      </c>
      <c r="C117" s="71"/>
      <c r="D117" s="71"/>
      <c r="E117" s="71"/>
      <c r="F117" s="331"/>
    </row>
    <row r="118" spans="2:6" ht="12.75">
      <c r="B118" s="16"/>
      <c r="C118" s="48"/>
      <c r="D118" s="55" t="s">
        <v>319</v>
      </c>
      <c r="E118" s="55" t="s">
        <v>320</v>
      </c>
      <c r="F118" s="130" t="s">
        <v>321</v>
      </c>
    </row>
    <row r="119" spans="2:6" ht="12.75">
      <c r="B119" s="16"/>
      <c r="C119" s="48"/>
      <c r="D119" s="17"/>
      <c r="E119" s="17"/>
      <c r="F119" s="18"/>
    </row>
    <row r="120" spans="2:6" ht="12.75">
      <c r="B120" s="16"/>
      <c r="C120" s="17"/>
      <c r="D120" s="23"/>
      <c r="E120" s="23"/>
      <c r="F120" s="112"/>
    </row>
    <row r="121" spans="2:6" ht="12.75">
      <c r="B121" s="16"/>
      <c r="C121" s="17"/>
      <c r="D121" s="23"/>
      <c r="E121" s="23"/>
      <c r="F121" s="112"/>
    </row>
    <row r="122" spans="2:6" ht="13.5" thickBot="1">
      <c r="B122" s="19"/>
      <c r="C122" s="20"/>
      <c r="D122" s="20"/>
      <c r="E122" s="20"/>
      <c r="F122" s="21"/>
    </row>
    <row r="123" ht="12.75">
      <c r="B123" s="171"/>
    </row>
    <row r="124" spans="4:6" ht="12.75">
      <c r="D124" s="169" t="s">
        <v>319</v>
      </c>
      <c r="E124" s="169" t="s">
        <v>320</v>
      </c>
      <c r="F124" s="169" t="s">
        <v>321</v>
      </c>
    </row>
    <row r="126" spans="2:43" ht="12.75">
      <c r="B126" s="25" t="s">
        <v>175</v>
      </c>
      <c r="D126" s="23"/>
      <c r="E126" s="23">
        <v>0</v>
      </c>
      <c r="F126" s="23">
        <v>0</v>
      </c>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row>
    <row r="129" spans="3:43" ht="12.75">
      <c r="C129" s="172"/>
      <c r="D129" s="172"/>
      <c r="E129" s="172"/>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row>
    <row r="130" ht="12.75">
      <c r="A130" s="99" t="s">
        <v>510</v>
      </c>
    </row>
    <row r="131" spans="1:2" ht="12.75">
      <c r="A131" s="99"/>
      <c r="B131" s="164" t="s">
        <v>511</v>
      </c>
    </row>
    <row r="132" spans="1:2" ht="12.75">
      <c r="A132" s="99"/>
      <c r="B132" s="164" t="s">
        <v>512</v>
      </c>
    </row>
    <row r="133" spans="1:2" ht="12.75">
      <c r="A133" s="99"/>
      <c r="B133" s="164" t="s">
        <v>513</v>
      </c>
    </row>
    <row r="134" ht="13.5" thickBot="1"/>
    <row r="135" spans="2:10" ht="12.75">
      <c r="B135" s="70" t="s">
        <v>197</v>
      </c>
      <c r="C135" s="71"/>
      <c r="D135" s="71"/>
      <c r="E135" s="71"/>
      <c r="F135" s="331"/>
      <c r="G135" s="167"/>
      <c r="H135" s="167"/>
      <c r="I135" s="167"/>
      <c r="J135" s="167"/>
    </row>
    <row r="136" spans="2:6" ht="12.75">
      <c r="B136" s="16"/>
      <c r="C136" s="48"/>
      <c r="D136" s="55" t="s">
        <v>319</v>
      </c>
      <c r="E136" s="55" t="s">
        <v>320</v>
      </c>
      <c r="F136" s="130" t="s">
        <v>321</v>
      </c>
    </row>
    <row r="137" spans="2:7" ht="12.75">
      <c r="B137" s="16"/>
      <c r="C137" s="17" t="s">
        <v>524</v>
      </c>
      <c r="D137" s="17"/>
      <c r="E137" s="84">
        <v>105000</v>
      </c>
      <c r="F137" s="18"/>
      <c r="G137" s="25" t="s">
        <v>347</v>
      </c>
    </row>
    <row r="138" spans="2:6" ht="12.75">
      <c r="B138" s="16"/>
      <c r="C138" s="17"/>
      <c r="D138" s="17"/>
      <c r="E138" s="17"/>
      <c r="F138" s="18"/>
    </row>
    <row r="139" spans="2:7" ht="12.75">
      <c r="B139" s="16"/>
      <c r="C139" s="17" t="s">
        <v>233</v>
      </c>
      <c r="D139" s="17"/>
      <c r="E139" s="84">
        <v>0</v>
      </c>
      <c r="F139" s="85">
        <f>5000*10</f>
        <v>50000</v>
      </c>
      <c r="G139" s="25" t="s">
        <v>234</v>
      </c>
    </row>
    <row r="140" spans="2:9" ht="12.75">
      <c r="B140" s="16"/>
      <c r="C140" s="17"/>
      <c r="D140" s="17"/>
      <c r="E140" s="17"/>
      <c r="F140" s="18"/>
      <c r="I140" s="205"/>
    </row>
    <row r="141" spans="2:9" ht="12.75">
      <c r="B141" s="16"/>
      <c r="C141" s="17" t="s">
        <v>410</v>
      </c>
      <c r="D141" s="17"/>
      <c r="E141" s="183">
        <f>Staffing!K159</f>
        <v>50000</v>
      </c>
      <c r="F141" s="112">
        <f>Staffing!L159</f>
        <v>51000</v>
      </c>
      <c r="I141" s="205"/>
    </row>
    <row r="142" spans="2:9" ht="12.75">
      <c r="B142" s="16"/>
      <c r="C142" s="17"/>
      <c r="D142" s="17"/>
      <c r="E142" s="17"/>
      <c r="F142" s="18"/>
      <c r="I142" s="205"/>
    </row>
    <row r="143" spans="2:6" ht="12.75">
      <c r="B143" s="16"/>
      <c r="C143" s="17" t="s">
        <v>235</v>
      </c>
      <c r="D143" s="17"/>
      <c r="E143" s="17"/>
      <c r="F143" s="18"/>
    </row>
    <row r="144" spans="2:6" ht="12.75">
      <c r="B144" s="16"/>
      <c r="C144" s="199" t="s">
        <v>236</v>
      </c>
      <c r="D144" s="17"/>
      <c r="E144" s="76">
        <v>0.15</v>
      </c>
      <c r="F144" s="69">
        <v>0.15</v>
      </c>
    </row>
    <row r="145" spans="2:6" ht="12.75">
      <c r="B145" s="16"/>
      <c r="C145" s="199" t="s">
        <v>237</v>
      </c>
      <c r="D145" s="17"/>
      <c r="E145" s="23">
        <f>E144*'Revenue - B-to-B'!D244</f>
        <v>20250</v>
      </c>
      <c r="F145" s="112">
        <f>F144*'Revenue - B-to-B'!E244</f>
        <v>20250</v>
      </c>
    </row>
    <row r="146" spans="2:6" ht="12.75">
      <c r="B146" s="16"/>
      <c r="C146" s="17"/>
      <c r="D146" s="17"/>
      <c r="E146" s="17"/>
      <c r="F146" s="18"/>
    </row>
    <row r="147" spans="2:6" ht="12.75">
      <c r="B147" s="16"/>
      <c r="C147" s="17" t="s">
        <v>238</v>
      </c>
      <c r="D147" s="17"/>
      <c r="E147" s="17"/>
      <c r="F147" s="18"/>
    </row>
    <row r="148" spans="2:6" ht="12.75">
      <c r="B148" s="16"/>
      <c r="C148" s="199" t="s">
        <v>239</v>
      </c>
      <c r="D148" s="17"/>
      <c r="E148" s="86">
        <v>4</v>
      </c>
      <c r="F148" s="87">
        <v>4</v>
      </c>
    </row>
    <row r="149" spans="2:6" ht="12.75">
      <c r="B149" s="16"/>
      <c r="C149" s="199" t="s">
        <v>240</v>
      </c>
      <c r="D149" s="17"/>
      <c r="E149" s="84">
        <v>500</v>
      </c>
      <c r="F149" s="85">
        <v>500</v>
      </c>
    </row>
    <row r="150" spans="2:6" ht="12.75">
      <c r="B150" s="16"/>
      <c r="C150" s="199" t="s">
        <v>241</v>
      </c>
      <c r="D150" s="17"/>
      <c r="E150" s="84">
        <v>1000</v>
      </c>
      <c r="F150" s="85">
        <v>1000</v>
      </c>
    </row>
    <row r="151" spans="2:6" ht="12.75">
      <c r="B151" s="16"/>
      <c r="C151" s="199" t="s">
        <v>242</v>
      </c>
      <c r="D151" s="17"/>
      <c r="E151" s="84">
        <v>2000</v>
      </c>
      <c r="F151" s="85">
        <v>2000</v>
      </c>
    </row>
    <row r="152" spans="2:6" ht="12.75">
      <c r="B152" s="16"/>
      <c r="C152" s="199"/>
      <c r="D152" s="17"/>
      <c r="E152" s="17"/>
      <c r="F152" s="18"/>
    </row>
    <row r="153" spans="2:6" ht="12.75">
      <c r="B153" s="16"/>
      <c r="C153" s="17" t="s">
        <v>243</v>
      </c>
      <c r="D153" s="17"/>
      <c r="E153" s="17"/>
      <c r="F153" s="18"/>
    </row>
    <row r="154" spans="2:6" ht="12.75">
      <c r="B154" s="16"/>
      <c r="C154" s="199" t="s">
        <v>236</v>
      </c>
      <c r="D154" s="17"/>
      <c r="E154" s="76">
        <v>0.15</v>
      </c>
      <c r="F154" s="69">
        <v>0.15</v>
      </c>
    </row>
    <row r="155" spans="2:6" ht="12.75">
      <c r="B155" s="16"/>
      <c r="C155" s="199" t="s">
        <v>237</v>
      </c>
      <c r="D155" s="17"/>
      <c r="E155" s="23">
        <f>E154*'Revenue - B-to-B'!D245</f>
        <v>7200</v>
      </c>
      <c r="F155" s="112">
        <f>F154*'Revenue - B-to-B'!E245</f>
        <v>39600</v>
      </c>
    </row>
    <row r="156" spans="2:6" ht="12.75">
      <c r="B156" s="16"/>
      <c r="C156" s="17"/>
      <c r="D156" s="17"/>
      <c r="E156" s="11"/>
      <c r="F156" s="166"/>
    </row>
    <row r="157" spans="2:6" ht="13.5" thickBot="1">
      <c r="B157" s="19"/>
      <c r="C157" s="20"/>
      <c r="D157" s="20"/>
      <c r="E157" s="20"/>
      <c r="F157" s="21"/>
    </row>
    <row r="159" spans="4:6" ht="12.75">
      <c r="D159" s="169" t="s">
        <v>319</v>
      </c>
      <c r="E159" s="169" t="s">
        <v>320</v>
      </c>
      <c r="F159" s="169" t="s">
        <v>321</v>
      </c>
    </row>
    <row r="161" spans="2:43" ht="12.75">
      <c r="B161" s="25" t="s">
        <v>176</v>
      </c>
      <c r="D161" s="23"/>
      <c r="E161" s="23">
        <f>(E137+E139+E141+E145)+((E149+E150+E151)*E148)+(E155)</f>
        <v>196450</v>
      </c>
      <c r="F161" s="23">
        <f>F137+F139+F141+F145+((F149+F150+F151)*F148)+F155</f>
        <v>174850</v>
      </c>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row>
    <row r="165" ht="12.75">
      <c r="A165" s="99" t="s">
        <v>301</v>
      </c>
    </row>
    <row r="166" spans="1:2" ht="12.75">
      <c r="A166" s="99"/>
      <c r="B166" s="164" t="s">
        <v>302</v>
      </c>
    </row>
    <row r="167" spans="1:2" ht="12.75">
      <c r="A167" s="99"/>
      <c r="B167" s="164" t="s">
        <v>303</v>
      </c>
    </row>
    <row r="168" ht="13.5" thickBot="1"/>
    <row r="169" spans="2:10" ht="12.75">
      <c r="B169" s="70" t="s">
        <v>197</v>
      </c>
      <c r="C169" s="71"/>
      <c r="D169" s="71"/>
      <c r="E169" s="71"/>
      <c r="F169" s="331"/>
      <c r="G169" s="167"/>
      <c r="H169" s="167"/>
      <c r="I169" s="167"/>
      <c r="J169" s="167"/>
    </row>
    <row r="170" spans="2:6" ht="12.75">
      <c r="B170" s="16"/>
      <c r="C170" s="48"/>
      <c r="D170" s="55" t="s">
        <v>319</v>
      </c>
      <c r="E170" s="55" t="s">
        <v>320</v>
      </c>
      <c r="F170" s="130" t="s">
        <v>321</v>
      </c>
    </row>
    <row r="171" spans="2:6" ht="12.75">
      <c r="B171" s="16"/>
      <c r="C171" s="48" t="s">
        <v>524</v>
      </c>
      <c r="D171" s="17"/>
      <c r="E171" s="84">
        <v>5000</v>
      </c>
      <c r="F171" s="18"/>
    </row>
    <row r="172" spans="2:6" ht="12.75">
      <c r="B172" s="16"/>
      <c r="C172" s="17"/>
      <c r="D172" s="17"/>
      <c r="E172" s="17"/>
      <c r="F172" s="18"/>
    </row>
    <row r="173" spans="2:6" ht="12.75">
      <c r="B173" s="16"/>
      <c r="C173" s="17" t="s">
        <v>244</v>
      </c>
      <c r="D173" s="17"/>
      <c r="E173" s="4">
        <v>1500</v>
      </c>
      <c r="F173" s="1">
        <v>1500</v>
      </c>
    </row>
    <row r="174" spans="2:6" ht="12.75">
      <c r="B174" s="16"/>
      <c r="C174" s="17"/>
      <c r="D174" s="17"/>
      <c r="E174" s="17"/>
      <c r="F174" s="18"/>
    </row>
    <row r="175" spans="2:6" ht="13.5" thickBot="1">
      <c r="B175" s="19"/>
      <c r="C175" s="20"/>
      <c r="D175" s="20"/>
      <c r="E175" s="20"/>
      <c r="F175" s="21"/>
    </row>
    <row r="177" spans="4:6" ht="12.75">
      <c r="D177" s="169" t="s">
        <v>319</v>
      </c>
      <c r="E177" s="169" t="s">
        <v>320</v>
      </c>
      <c r="F177" s="169" t="s">
        <v>321</v>
      </c>
    </row>
    <row r="179" spans="2:43" ht="12.75">
      <c r="B179" s="25" t="s">
        <v>177</v>
      </c>
      <c r="D179" s="23"/>
      <c r="E179" s="23">
        <f>E171+((E173*12)*'Revenue - B-to-B'!D258)</f>
        <v>41000</v>
      </c>
      <c r="F179" s="23">
        <f>F171+((F173*12)*'Revenue - B-to-B'!E258)</f>
        <v>54000</v>
      </c>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row>
    <row r="183" spans="1:2" ht="12.75">
      <c r="A183" s="197" t="s">
        <v>309</v>
      </c>
      <c r="B183" s="167"/>
    </row>
    <row r="184" spans="1:2" ht="12.75">
      <c r="A184" s="99"/>
      <c r="B184" s="25" t="s">
        <v>310</v>
      </c>
    </row>
    <row r="185" spans="1:2" ht="12.75">
      <c r="A185" s="99"/>
      <c r="B185" s="164" t="s">
        <v>202</v>
      </c>
    </row>
    <row r="186" spans="1:2" ht="12.75">
      <c r="A186" s="99"/>
      <c r="B186" s="25" t="s">
        <v>312</v>
      </c>
    </row>
    <row r="187" spans="1:2" ht="12.75">
      <c r="A187" s="99"/>
      <c r="B187" s="164" t="s">
        <v>311</v>
      </c>
    </row>
    <row r="188" ht="13.5" thickBot="1"/>
    <row r="189" spans="2:6" ht="12.75">
      <c r="B189" s="70" t="s">
        <v>197</v>
      </c>
      <c r="C189" s="71"/>
      <c r="D189" s="71"/>
      <c r="E189" s="71"/>
      <c r="F189" s="331"/>
    </row>
    <row r="190" spans="2:6" ht="12.75">
      <c r="B190" s="16"/>
      <c r="C190" s="48"/>
      <c r="D190" s="55" t="s">
        <v>319</v>
      </c>
      <c r="E190" s="55" t="s">
        <v>320</v>
      </c>
      <c r="F190" s="130" t="s">
        <v>321</v>
      </c>
    </row>
    <row r="191" spans="2:6" ht="12.75">
      <c r="B191" s="16"/>
      <c r="C191" s="17"/>
      <c r="D191" s="12"/>
      <c r="E191" s="12"/>
      <c r="F191" s="18"/>
    </row>
    <row r="192" spans="2:6" ht="12.75">
      <c r="B192" s="16"/>
      <c r="C192" s="17"/>
      <c r="D192" s="12"/>
      <c r="E192" s="12"/>
      <c r="F192" s="168"/>
    </row>
    <row r="193" spans="2:6" ht="12.75">
      <c r="B193" s="16"/>
      <c r="C193" s="17"/>
      <c r="D193" s="12"/>
      <c r="E193" s="12"/>
      <c r="F193" s="168"/>
    </row>
    <row r="194" spans="2:6" ht="12.75">
      <c r="B194" s="16"/>
      <c r="C194" s="17"/>
      <c r="D194" s="12"/>
      <c r="E194" s="12"/>
      <c r="F194" s="168"/>
    </row>
    <row r="195" spans="2:6" ht="12.75">
      <c r="B195" s="16"/>
      <c r="C195" s="17"/>
      <c r="D195" s="12"/>
      <c r="E195" s="12"/>
      <c r="F195" s="168"/>
    </row>
    <row r="196" spans="2:6" ht="13.5" thickBot="1">
      <c r="B196" s="19"/>
      <c r="C196" s="20"/>
      <c r="D196" s="20"/>
      <c r="E196" s="20"/>
      <c r="F196" s="21"/>
    </row>
    <row r="198" spans="4:6" ht="12.75">
      <c r="D198" s="169" t="s">
        <v>319</v>
      </c>
      <c r="E198" s="169" t="s">
        <v>320</v>
      </c>
      <c r="F198" s="169" t="s">
        <v>321</v>
      </c>
    </row>
    <row r="199" ht="12.75">
      <c r="H199" s="178"/>
    </row>
    <row r="200" spans="2:43" ht="12.75">
      <c r="B200" s="25" t="s">
        <v>178</v>
      </c>
      <c r="D200" s="23"/>
      <c r="E200" s="23"/>
      <c r="F200" s="23">
        <v>0</v>
      </c>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row>
    <row r="203" ht="12.75">
      <c r="H203" s="164"/>
    </row>
    <row r="204" ht="12.75">
      <c r="A204" s="99" t="s">
        <v>455</v>
      </c>
    </row>
    <row r="205" spans="1:2" ht="12.75">
      <c r="A205" s="99"/>
      <c r="B205" s="25" t="s">
        <v>290</v>
      </c>
    </row>
    <row r="206" spans="1:2" ht="12.75">
      <c r="A206" s="99"/>
      <c r="B206" s="164" t="s">
        <v>456</v>
      </c>
    </row>
    <row r="207" spans="1:2" ht="12.75">
      <c r="A207" s="99"/>
      <c r="B207" s="164" t="s">
        <v>457</v>
      </c>
    </row>
    <row r="208" ht="13.5" thickBot="1"/>
    <row r="209" spans="2:6" ht="12.75">
      <c r="B209" s="70" t="s">
        <v>197</v>
      </c>
      <c r="C209" s="71"/>
      <c r="D209" s="71"/>
      <c r="E209" s="71"/>
      <c r="F209" s="331"/>
    </row>
    <row r="210" spans="2:6" ht="12.75">
      <c r="B210" s="16"/>
      <c r="C210" s="48"/>
      <c r="D210" s="55" t="s">
        <v>319</v>
      </c>
      <c r="E210" s="55" t="s">
        <v>320</v>
      </c>
      <c r="F210" s="130" t="s">
        <v>321</v>
      </c>
    </row>
    <row r="211" spans="2:43" ht="12.75">
      <c r="B211" s="16"/>
      <c r="C211" s="48"/>
      <c r="D211" s="11"/>
      <c r="E211" s="11"/>
      <c r="F211" s="166"/>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row>
    <row r="212" spans="2:6" ht="12.75">
      <c r="B212" s="16"/>
      <c r="C212" s="26"/>
      <c r="D212" s="11"/>
      <c r="E212" s="11"/>
      <c r="F212" s="166"/>
    </row>
    <row r="213" spans="2:43" ht="12.75">
      <c r="B213" s="16"/>
      <c r="C213" s="48"/>
      <c r="D213" s="11"/>
      <c r="E213" s="11"/>
      <c r="F213" s="166"/>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row>
    <row r="214" spans="2:6" ht="12.75">
      <c r="B214" s="16"/>
      <c r="C214" s="26"/>
      <c r="D214" s="11"/>
      <c r="E214" s="11"/>
      <c r="F214" s="166"/>
    </row>
    <row r="215" spans="2:6" ht="13.5" thickBot="1">
      <c r="B215" s="19"/>
      <c r="C215" s="20"/>
      <c r="D215" s="20"/>
      <c r="E215" s="20"/>
      <c r="F215" s="21"/>
    </row>
    <row r="217" spans="4:6" ht="12.75">
      <c r="D217" s="169" t="s">
        <v>319</v>
      </c>
      <c r="E217" s="169" t="s">
        <v>320</v>
      </c>
      <c r="F217" s="169" t="s">
        <v>321</v>
      </c>
    </row>
    <row r="219" spans="2:43" ht="12.75">
      <c r="B219" s="25" t="s">
        <v>179</v>
      </c>
      <c r="D219" s="23"/>
      <c r="E219" s="23"/>
      <c r="F219" s="23">
        <v>0</v>
      </c>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row>
    <row r="223" spans="9:44" ht="12.75">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AS343"/>
  <sheetViews>
    <sheetView zoomScale="110" zoomScaleNormal="110" workbookViewId="0" topLeftCell="A1">
      <selection activeCell="H254" sqref="H254"/>
    </sheetView>
  </sheetViews>
  <sheetFormatPr defaultColWidth="11.421875" defaultRowHeight="12.75"/>
  <cols>
    <col min="1" max="1" width="3.140625" style="25" customWidth="1"/>
    <col min="2" max="2" width="43.7109375" style="25" customWidth="1"/>
    <col min="3" max="3" width="12.7109375" style="25" customWidth="1"/>
    <col min="4" max="4" width="12.140625" style="25" customWidth="1"/>
    <col min="5" max="5" width="12.28125" style="25" customWidth="1"/>
    <col min="6" max="6" width="33.7109375" style="25" customWidth="1"/>
    <col min="7" max="7" width="4.421875" style="25" customWidth="1"/>
    <col min="8" max="8" width="11.710937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2" spans="1:43" ht="12.75">
      <c r="A2" s="270" t="s">
        <v>429</v>
      </c>
      <c r="B2" s="231"/>
      <c r="C2" s="328" t="s">
        <v>319</v>
      </c>
      <c r="D2" s="328" t="s">
        <v>320</v>
      </c>
      <c r="E2" s="328" t="s">
        <v>321</v>
      </c>
      <c r="F2" s="329" t="s">
        <v>330</v>
      </c>
      <c r="H2" s="53" t="s">
        <v>319</v>
      </c>
      <c r="I2" s="54"/>
      <c r="J2" s="54"/>
      <c r="K2" s="54"/>
      <c r="L2" s="54"/>
      <c r="M2" s="54"/>
      <c r="N2" s="54"/>
      <c r="O2" s="54"/>
      <c r="P2" s="54"/>
      <c r="Q2" s="54"/>
      <c r="R2" s="54"/>
      <c r="S2" s="39"/>
      <c r="T2" s="53" t="s">
        <v>320</v>
      </c>
      <c r="U2" s="54"/>
      <c r="V2" s="54"/>
      <c r="W2" s="54"/>
      <c r="X2" s="54"/>
      <c r="Y2" s="54"/>
      <c r="Z2" s="54"/>
      <c r="AA2" s="54"/>
      <c r="AB2" s="54"/>
      <c r="AC2" s="54"/>
      <c r="AD2" s="54"/>
      <c r="AE2" s="39"/>
      <c r="AF2" s="53" t="s">
        <v>321</v>
      </c>
      <c r="AG2" s="54"/>
      <c r="AH2" s="54"/>
      <c r="AI2" s="54"/>
      <c r="AJ2" s="54"/>
      <c r="AK2" s="54"/>
      <c r="AL2" s="54"/>
      <c r="AM2" s="54"/>
      <c r="AN2" s="54"/>
      <c r="AO2" s="54"/>
      <c r="AP2" s="54"/>
      <c r="AQ2" s="39"/>
    </row>
    <row r="3" spans="1:43" ht="12.75">
      <c r="A3" s="32"/>
      <c r="B3" s="26"/>
      <c r="C3" s="26"/>
      <c r="D3" s="26"/>
      <c r="E3" s="26"/>
      <c r="F3" s="108"/>
      <c r="H3" s="40" t="s">
        <v>323</v>
      </c>
      <c r="I3" s="41" t="s">
        <v>324</v>
      </c>
      <c r="J3" s="41" t="s">
        <v>325</v>
      </c>
      <c r="K3" s="41" t="s">
        <v>326</v>
      </c>
      <c r="L3" s="41" t="s">
        <v>130</v>
      </c>
      <c r="M3" s="41" t="s">
        <v>131</v>
      </c>
      <c r="N3" s="41" t="s">
        <v>132</v>
      </c>
      <c r="O3" s="41" t="s">
        <v>133</v>
      </c>
      <c r="P3" s="41" t="s">
        <v>134</v>
      </c>
      <c r="Q3" s="41" t="s">
        <v>135</v>
      </c>
      <c r="R3" s="41" t="s">
        <v>136</v>
      </c>
      <c r="S3" s="41" t="s">
        <v>137</v>
      </c>
      <c r="T3" s="41" t="s">
        <v>323</v>
      </c>
      <c r="U3" s="41" t="s">
        <v>324</v>
      </c>
      <c r="V3" s="41" t="s">
        <v>325</v>
      </c>
      <c r="W3" s="41" t="s">
        <v>326</v>
      </c>
      <c r="X3" s="41" t="s">
        <v>130</v>
      </c>
      <c r="Y3" s="41" t="s">
        <v>131</v>
      </c>
      <c r="Z3" s="41" t="s">
        <v>132</v>
      </c>
      <c r="AA3" s="41" t="s">
        <v>133</v>
      </c>
      <c r="AB3" s="41" t="s">
        <v>134</v>
      </c>
      <c r="AC3" s="41" t="s">
        <v>135</v>
      </c>
      <c r="AD3" s="41" t="s">
        <v>136</v>
      </c>
      <c r="AE3" s="41" t="s">
        <v>137</v>
      </c>
      <c r="AF3" s="43" t="s">
        <v>323</v>
      </c>
      <c r="AG3" s="43" t="s">
        <v>324</v>
      </c>
      <c r="AH3" s="43" t="s">
        <v>325</v>
      </c>
      <c r="AI3" s="43" t="s">
        <v>326</v>
      </c>
      <c r="AJ3" s="43" t="s">
        <v>130</v>
      </c>
      <c r="AK3" s="43" t="s">
        <v>131</v>
      </c>
      <c r="AL3" s="43" t="s">
        <v>132</v>
      </c>
      <c r="AM3" s="43" t="s">
        <v>133</v>
      </c>
      <c r="AN3" s="43" t="s">
        <v>134</v>
      </c>
      <c r="AO3" s="43" t="s">
        <v>135</v>
      </c>
      <c r="AP3" s="43" t="s">
        <v>136</v>
      </c>
      <c r="AQ3" s="106" t="s">
        <v>137</v>
      </c>
    </row>
    <row r="4" spans="1:43" ht="12.75">
      <c r="A4" s="32" t="s">
        <v>287</v>
      </c>
      <c r="B4" s="156"/>
      <c r="C4" s="23">
        <f>C76</f>
        <v>928400</v>
      </c>
      <c r="D4" s="23">
        <f>D76</f>
        <v>1108400</v>
      </c>
      <c r="E4" s="23">
        <f>E76</f>
        <v>1198400</v>
      </c>
      <c r="F4" s="108" t="s">
        <v>215</v>
      </c>
      <c r="H4" s="111">
        <f>C4/12</f>
        <v>77366.66666666667</v>
      </c>
      <c r="I4" s="23">
        <f aca="true" t="shared" si="0" ref="I4:S4">$C$4/12</f>
        <v>77366.66666666667</v>
      </c>
      <c r="J4" s="23">
        <f t="shared" si="0"/>
        <v>77366.66666666667</v>
      </c>
      <c r="K4" s="23">
        <f t="shared" si="0"/>
        <v>77366.66666666667</v>
      </c>
      <c r="L4" s="23">
        <f t="shared" si="0"/>
        <v>77366.66666666667</v>
      </c>
      <c r="M4" s="23">
        <f t="shared" si="0"/>
        <v>77366.66666666667</v>
      </c>
      <c r="N4" s="23">
        <f t="shared" si="0"/>
        <v>77366.66666666667</v>
      </c>
      <c r="O4" s="23">
        <f t="shared" si="0"/>
        <v>77366.66666666667</v>
      </c>
      <c r="P4" s="23">
        <f t="shared" si="0"/>
        <v>77366.66666666667</v>
      </c>
      <c r="Q4" s="23">
        <f t="shared" si="0"/>
        <v>77366.66666666667</v>
      </c>
      <c r="R4" s="23">
        <f t="shared" si="0"/>
        <v>77366.66666666667</v>
      </c>
      <c r="S4" s="23">
        <f t="shared" si="0"/>
        <v>77366.66666666667</v>
      </c>
      <c r="T4" s="23">
        <f aca="true" t="shared" si="1" ref="T4:AE4">$D$4/12</f>
        <v>92366.66666666667</v>
      </c>
      <c r="U4" s="23">
        <f t="shared" si="1"/>
        <v>92366.66666666667</v>
      </c>
      <c r="V4" s="23">
        <f t="shared" si="1"/>
        <v>92366.66666666667</v>
      </c>
      <c r="W4" s="23">
        <f t="shared" si="1"/>
        <v>92366.66666666667</v>
      </c>
      <c r="X4" s="23">
        <f t="shared" si="1"/>
        <v>92366.66666666667</v>
      </c>
      <c r="Y4" s="23">
        <f t="shared" si="1"/>
        <v>92366.66666666667</v>
      </c>
      <c r="Z4" s="23">
        <f t="shared" si="1"/>
        <v>92366.66666666667</v>
      </c>
      <c r="AA4" s="23">
        <f t="shared" si="1"/>
        <v>92366.66666666667</v>
      </c>
      <c r="AB4" s="23">
        <f t="shared" si="1"/>
        <v>92366.66666666667</v>
      </c>
      <c r="AC4" s="23">
        <f t="shared" si="1"/>
        <v>92366.66666666667</v>
      </c>
      <c r="AD4" s="23">
        <f t="shared" si="1"/>
        <v>92366.66666666667</v>
      </c>
      <c r="AE4" s="23">
        <f t="shared" si="1"/>
        <v>92366.66666666667</v>
      </c>
      <c r="AF4" s="23">
        <f aca="true" t="shared" si="2" ref="AF4:AQ4">$E$4/12</f>
        <v>99866.66666666667</v>
      </c>
      <c r="AG4" s="23">
        <f t="shared" si="2"/>
        <v>99866.66666666667</v>
      </c>
      <c r="AH4" s="23">
        <f t="shared" si="2"/>
        <v>99866.66666666667</v>
      </c>
      <c r="AI4" s="23">
        <f t="shared" si="2"/>
        <v>99866.66666666667</v>
      </c>
      <c r="AJ4" s="23">
        <f t="shared" si="2"/>
        <v>99866.66666666667</v>
      </c>
      <c r="AK4" s="23">
        <f t="shared" si="2"/>
        <v>99866.66666666667</v>
      </c>
      <c r="AL4" s="23">
        <f t="shared" si="2"/>
        <v>99866.66666666667</v>
      </c>
      <c r="AM4" s="23">
        <f t="shared" si="2"/>
        <v>99866.66666666667</v>
      </c>
      <c r="AN4" s="23">
        <f t="shared" si="2"/>
        <v>99866.66666666667</v>
      </c>
      <c r="AO4" s="23">
        <f t="shared" si="2"/>
        <v>99866.66666666667</v>
      </c>
      <c r="AP4" s="23">
        <f t="shared" si="2"/>
        <v>99866.66666666667</v>
      </c>
      <c r="AQ4" s="112">
        <f t="shared" si="2"/>
        <v>99866.66666666667</v>
      </c>
    </row>
    <row r="5" spans="1:43" ht="12.75">
      <c r="A5" s="32"/>
      <c r="B5" s="156"/>
      <c r="C5" s="26"/>
      <c r="D5" s="26"/>
      <c r="E5" s="26"/>
      <c r="F5" s="108"/>
      <c r="H5" s="32"/>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108"/>
    </row>
    <row r="6" spans="1:45" ht="12.75">
      <c r="A6" s="32" t="s">
        <v>430</v>
      </c>
      <c r="B6" s="26"/>
      <c r="C6" s="23">
        <f>C114</f>
        <v>742500</v>
      </c>
      <c r="D6" s="23">
        <f>D114</f>
        <v>990000</v>
      </c>
      <c r="E6" s="23">
        <f>E114</f>
        <v>1237500</v>
      </c>
      <c r="F6" s="108" t="s">
        <v>215</v>
      </c>
      <c r="H6" s="111">
        <f>C6/12</f>
        <v>61875</v>
      </c>
      <c r="I6" s="23">
        <f aca="true" t="shared" si="3" ref="I6:S6">$C$6/12</f>
        <v>61875</v>
      </c>
      <c r="J6" s="23">
        <f t="shared" si="3"/>
        <v>61875</v>
      </c>
      <c r="K6" s="23">
        <f t="shared" si="3"/>
        <v>61875</v>
      </c>
      <c r="L6" s="23">
        <f t="shared" si="3"/>
        <v>61875</v>
      </c>
      <c r="M6" s="23">
        <f t="shared" si="3"/>
        <v>61875</v>
      </c>
      <c r="N6" s="23">
        <f t="shared" si="3"/>
        <v>61875</v>
      </c>
      <c r="O6" s="23">
        <f t="shared" si="3"/>
        <v>61875</v>
      </c>
      <c r="P6" s="23">
        <f t="shared" si="3"/>
        <v>61875</v>
      </c>
      <c r="Q6" s="23">
        <f t="shared" si="3"/>
        <v>61875</v>
      </c>
      <c r="R6" s="23">
        <f t="shared" si="3"/>
        <v>61875</v>
      </c>
      <c r="S6" s="23">
        <f t="shared" si="3"/>
        <v>61875</v>
      </c>
      <c r="T6" s="23">
        <f aca="true" t="shared" si="4" ref="T6:AE6">$D$6/12</f>
        <v>82500</v>
      </c>
      <c r="U6" s="23">
        <f t="shared" si="4"/>
        <v>82500</v>
      </c>
      <c r="V6" s="23">
        <f t="shared" si="4"/>
        <v>82500</v>
      </c>
      <c r="W6" s="23">
        <f t="shared" si="4"/>
        <v>82500</v>
      </c>
      <c r="X6" s="23">
        <f t="shared" si="4"/>
        <v>82500</v>
      </c>
      <c r="Y6" s="23">
        <f t="shared" si="4"/>
        <v>82500</v>
      </c>
      <c r="Z6" s="23">
        <f t="shared" si="4"/>
        <v>82500</v>
      </c>
      <c r="AA6" s="23">
        <f t="shared" si="4"/>
        <v>82500</v>
      </c>
      <c r="AB6" s="23">
        <f t="shared" si="4"/>
        <v>82500</v>
      </c>
      <c r="AC6" s="23">
        <f t="shared" si="4"/>
        <v>82500</v>
      </c>
      <c r="AD6" s="23">
        <f t="shared" si="4"/>
        <v>82500</v>
      </c>
      <c r="AE6" s="23">
        <f t="shared" si="4"/>
        <v>82500</v>
      </c>
      <c r="AF6" s="23">
        <f aca="true" t="shared" si="5" ref="AF6:AQ6">$E$6/12</f>
        <v>103125</v>
      </c>
      <c r="AG6" s="23">
        <f t="shared" si="5"/>
        <v>103125</v>
      </c>
      <c r="AH6" s="23">
        <f t="shared" si="5"/>
        <v>103125</v>
      </c>
      <c r="AI6" s="23">
        <f t="shared" si="5"/>
        <v>103125</v>
      </c>
      <c r="AJ6" s="23">
        <f t="shared" si="5"/>
        <v>103125</v>
      </c>
      <c r="AK6" s="23">
        <f t="shared" si="5"/>
        <v>103125</v>
      </c>
      <c r="AL6" s="23">
        <f t="shared" si="5"/>
        <v>103125</v>
      </c>
      <c r="AM6" s="23">
        <f t="shared" si="5"/>
        <v>103125</v>
      </c>
      <c r="AN6" s="23">
        <f t="shared" si="5"/>
        <v>103125</v>
      </c>
      <c r="AO6" s="23">
        <f t="shared" si="5"/>
        <v>103125</v>
      </c>
      <c r="AP6" s="23">
        <f t="shared" si="5"/>
        <v>103125</v>
      </c>
      <c r="AQ6" s="112">
        <f t="shared" si="5"/>
        <v>103125</v>
      </c>
      <c r="AR6" s="157"/>
      <c r="AS6" s="157"/>
    </row>
    <row r="7" spans="1:45" ht="12.75">
      <c r="A7" s="32"/>
      <c r="B7" s="26"/>
      <c r="C7" s="23"/>
      <c r="D7" s="23"/>
      <c r="E7" s="23"/>
      <c r="F7" s="108"/>
      <c r="H7" s="111"/>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112"/>
      <c r="AR7" s="157"/>
      <c r="AS7" s="157"/>
    </row>
    <row r="8" spans="1:43" ht="12.75">
      <c r="A8" s="32" t="s">
        <v>288</v>
      </c>
      <c r="B8" s="26"/>
      <c r="C8" s="23">
        <f>C167</f>
        <v>325144.56140350876</v>
      </c>
      <c r="D8" s="23">
        <f>D167</f>
        <v>358309.4736842105</v>
      </c>
      <c r="E8" s="23">
        <f>E167</f>
        <v>410202.8070175438</v>
      </c>
      <c r="F8" s="108" t="s">
        <v>215</v>
      </c>
      <c r="H8" s="111">
        <f>C8/12</f>
        <v>27095.380116959062</v>
      </c>
      <c r="I8" s="23">
        <f aca="true" t="shared" si="6" ref="I8:S8">$C$8/12</f>
        <v>27095.380116959062</v>
      </c>
      <c r="J8" s="23">
        <f t="shared" si="6"/>
        <v>27095.380116959062</v>
      </c>
      <c r="K8" s="23">
        <f t="shared" si="6"/>
        <v>27095.380116959062</v>
      </c>
      <c r="L8" s="23">
        <f t="shared" si="6"/>
        <v>27095.380116959062</v>
      </c>
      <c r="M8" s="23">
        <f t="shared" si="6"/>
        <v>27095.380116959062</v>
      </c>
      <c r="N8" s="23">
        <f t="shared" si="6"/>
        <v>27095.380116959062</v>
      </c>
      <c r="O8" s="23">
        <f t="shared" si="6"/>
        <v>27095.380116959062</v>
      </c>
      <c r="P8" s="23">
        <f t="shared" si="6"/>
        <v>27095.380116959062</v>
      </c>
      <c r="Q8" s="23">
        <f t="shared" si="6"/>
        <v>27095.380116959062</v>
      </c>
      <c r="R8" s="23">
        <f t="shared" si="6"/>
        <v>27095.380116959062</v>
      </c>
      <c r="S8" s="23">
        <f t="shared" si="6"/>
        <v>27095.380116959062</v>
      </c>
      <c r="T8" s="23">
        <f aca="true" t="shared" si="7" ref="T8:AE8">$D$8/12</f>
        <v>29859.122807017542</v>
      </c>
      <c r="U8" s="23">
        <f t="shared" si="7"/>
        <v>29859.122807017542</v>
      </c>
      <c r="V8" s="23">
        <f t="shared" si="7"/>
        <v>29859.122807017542</v>
      </c>
      <c r="W8" s="23">
        <f t="shared" si="7"/>
        <v>29859.122807017542</v>
      </c>
      <c r="X8" s="23">
        <f t="shared" si="7"/>
        <v>29859.122807017542</v>
      </c>
      <c r="Y8" s="23">
        <f t="shared" si="7"/>
        <v>29859.122807017542</v>
      </c>
      <c r="Z8" s="23">
        <f t="shared" si="7"/>
        <v>29859.122807017542</v>
      </c>
      <c r="AA8" s="23">
        <f t="shared" si="7"/>
        <v>29859.122807017542</v>
      </c>
      <c r="AB8" s="23">
        <f t="shared" si="7"/>
        <v>29859.122807017542</v>
      </c>
      <c r="AC8" s="23">
        <f t="shared" si="7"/>
        <v>29859.122807017542</v>
      </c>
      <c r="AD8" s="23">
        <f t="shared" si="7"/>
        <v>29859.122807017542</v>
      </c>
      <c r="AE8" s="23">
        <f t="shared" si="7"/>
        <v>29859.122807017542</v>
      </c>
      <c r="AF8" s="23">
        <f aca="true" t="shared" si="8" ref="AF8:AQ8">$E$8/12</f>
        <v>34183.56725146199</v>
      </c>
      <c r="AG8" s="23">
        <f t="shared" si="8"/>
        <v>34183.56725146199</v>
      </c>
      <c r="AH8" s="23">
        <f t="shared" si="8"/>
        <v>34183.56725146199</v>
      </c>
      <c r="AI8" s="23">
        <f t="shared" si="8"/>
        <v>34183.56725146199</v>
      </c>
      <c r="AJ8" s="23">
        <f t="shared" si="8"/>
        <v>34183.56725146199</v>
      </c>
      <c r="AK8" s="23">
        <f t="shared" si="8"/>
        <v>34183.56725146199</v>
      </c>
      <c r="AL8" s="23">
        <f t="shared" si="8"/>
        <v>34183.56725146199</v>
      </c>
      <c r="AM8" s="23">
        <f t="shared" si="8"/>
        <v>34183.56725146199</v>
      </c>
      <c r="AN8" s="23">
        <f t="shared" si="8"/>
        <v>34183.56725146199</v>
      </c>
      <c r="AO8" s="23">
        <f t="shared" si="8"/>
        <v>34183.56725146199</v>
      </c>
      <c r="AP8" s="23">
        <f t="shared" si="8"/>
        <v>34183.56725146199</v>
      </c>
      <c r="AQ8" s="112">
        <f t="shared" si="8"/>
        <v>34183.56725146199</v>
      </c>
    </row>
    <row r="9" spans="1:43" ht="12.7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3" ht="12.75">
      <c r="A10" s="32" t="s">
        <v>175</v>
      </c>
      <c r="B10" s="26"/>
      <c r="C10" s="23">
        <v>0</v>
      </c>
      <c r="D10" s="23">
        <v>0</v>
      </c>
      <c r="E10" s="23">
        <v>0</v>
      </c>
      <c r="F10" s="108" t="s">
        <v>431</v>
      </c>
      <c r="H10" s="111">
        <f>C10/12</f>
        <v>0</v>
      </c>
      <c r="I10" s="23">
        <f aca="true" t="shared" si="9" ref="I10:S10">$C$10/12</f>
        <v>0</v>
      </c>
      <c r="J10" s="23">
        <f t="shared" si="9"/>
        <v>0</v>
      </c>
      <c r="K10" s="23">
        <f t="shared" si="9"/>
        <v>0</v>
      </c>
      <c r="L10" s="23">
        <f t="shared" si="9"/>
        <v>0</v>
      </c>
      <c r="M10" s="23">
        <f t="shared" si="9"/>
        <v>0</v>
      </c>
      <c r="N10" s="23">
        <f t="shared" si="9"/>
        <v>0</v>
      </c>
      <c r="O10" s="23">
        <f t="shared" si="9"/>
        <v>0</v>
      </c>
      <c r="P10" s="23">
        <f t="shared" si="9"/>
        <v>0</v>
      </c>
      <c r="Q10" s="23">
        <f t="shared" si="9"/>
        <v>0</v>
      </c>
      <c r="R10" s="23">
        <f t="shared" si="9"/>
        <v>0</v>
      </c>
      <c r="S10" s="23">
        <f t="shared" si="9"/>
        <v>0</v>
      </c>
      <c r="T10" s="23">
        <f aca="true" t="shared" si="10" ref="T10:AE10">$D$10/12</f>
        <v>0</v>
      </c>
      <c r="U10" s="23">
        <f t="shared" si="10"/>
        <v>0</v>
      </c>
      <c r="V10" s="23">
        <f t="shared" si="10"/>
        <v>0</v>
      </c>
      <c r="W10" s="23">
        <f t="shared" si="10"/>
        <v>0</v>
      </c>
      <c r="X10" s="23">
        <f t="shared" si="10"/>
        <v>0</v>
      </c>
      <c r="Y10" s="23">
        <f t="shared" si="10"/>
        <v>0</v>
      </c>
      <c r="Z10" s="23">
        <f t="shared" si="10"/>
        <v>0</v>
      </c>
      <c r="AA10" s="23">
        <f t="shared" si="10"/>
        <v>0</v>
      </c>
      <c r="AB10" s="23">
        <f t="shared" si="10"/>
        <v>0</v>
      </c>
      <c r="AC10" s="23">
        <f t="shared" si="10"/>
        <v>0</v>
      </c>
      <c r="AD10" s="23">
        <f t="shared" si="10"/>
        <v>0</v>
      </c>
      <c r="AE10" s="23">
        <f t="shared" si="10"/>
        <v>0</v>
      </c>
      <c r="AF10" s="23">
        <f aca="true" t="shared" si="11" ref="AF10:AQ10">$E$10/12</f>
        <v>0</v>
      </c>
      <c r="AG10" s="23">
        <f t="shared" si="11"/>
        <v>0</v>
      </c>
      <c r="AH10" s="23">
        <f t="shared" si="11"/>
        <v>0</v>
      </c>
      <c r="AI10" s="23">
        <f t="shared" si="11"/>
        <v>0</v>
      </c>
      <c r="AJ10" s="23">
        <f t="shared" si="11"/>
        <v>0</v>
      </c>
      <c r="AK10" s="23">
        <f t="shared" si="11"/>
        <v>0</v>
      </c>
      <c r="AL10" s="23">
        <f t="shared" si="11"/>
        <v>0</v>
      </c>
      <c r="AM10" s="23">
        <f t="shared" si="11"/>
        <v>0</v>
      </c>
      <c r="AN10" s="23">
        <f t="shared" si="11"/>
        <v>0</v>
      </c>
      <c r="AO10" s="23">
        <f t="shared" si="11"/>
        <v>0</v>
      </c>
      <c r="AP10" s="23">
        <f t="shared" si="11"/>
        <v>0</v>
      </c>
      <c r="AQ10" s="112">
        <f t="shared" si="11"/>
        <v>0</v>
      </c>
    </row>
    <row r="11" spans="1:43" ht="12.75">
      <c r="A11" s="32"/>
      <c r="B11" s="26"/>
      <c r="C11" s="37"/>
      <c r="D11" s="47"/>
      <c r="E11" s="47"/>
      <c r="F11" s="108"/>
      <c r="H11" s="154"/>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155"/>
    </row>
    <row r="12" spans="1:45" ht="12.75">
      <c r="A12" s="32" t="s">
        <v>176</v>
      </c>
      <c r="B12" s="26"/>
      <c r="C12" s="23">
        <f>C242</f>
        <v>0</v>
      </c>
      <c r="D12" s="23">
        <f>D242</f>
        <v>264000</v>
      </c>
      <c r="E12" s="23">
        <f>E242</f>
        <v>480000</v>
      </c>
      <c r="F12" s="108" t="s">
        <v>216</v>
      </c>
      <c r="H12" s="111">
        <f>C12/12</f>
        <v>0</v>
      </c>
      <c r="I12" s="23">
        <f aca="true" t="shared" si="12" ref="I12:S12">$C$12/12</f>
        <v>0</v>
      </c>
      <c r="J12" s="23">
        <f t="shared" si="12"/>
        <v>0</v>
      </c>
      <c r="K12" s="23">
        <f t="shared" si="12"/>
        <v>0</v>
      </c>
      <c r="L12" s="23">
        <f t="shared" si="12"/>
        <v>0</v>
      </c>
      <c r="M12" s="23">
        <f t="shared" si="12"/>
        <v>0</v>
      </c>
      <c r="N12" s="23">
        <f t="shared" si="12"/>
        <v>0</v>
      </c>
      <c r="O12" s="23">
        <f t="shared" si="12"/>
        <v>0</v>
      </c>
      <c r="P12" s="23">
        <f t="shared" si="12"/>
        <v>0</v>
      </c>
      <c r="Q12" s="23">
        <f t="shared" si="12"/>
        <v>0</v>
      </c>
      <c r="R12" s="23">
        <f t="shared" si="12"/>
        <v>0</v>
      </c>
      <c r="S12" s="23">
        <f t="shared" si="12"/>
        <v>0</v>
      </c>
      <c r="T12" s="23">
        <f aca="true" t="shared" si="13" ref="T12:AE12">$D$12/12</f>
        <v>22000</v>
      </c>
      <c r="U12" s="23">
        <f t="shared" si="13"/>
        <v>22000</v>
      </c>
      <c r="V12" s="23">
        <f t="shared" si="13"/>
        <v>22000</v>
      </c>
      <c r="W12" s="23">
        <f t="shared" si="13"/>
        <v>22000</v>
      </c>
      <c r="X12" s="23">
        <f t="shared" si="13"/>
        <v>22000</v>
      </c>
      <c r="Y12" s="23">
        <f t="shared" si="13"/>
        <v>22000</v>
      </c>
      <c r="Z12" s="23">
        <f t="shared" si="13"/>
        <v>22000</v>
      </c>
      <c r="AA12" s="23">
        <f t="shared" si="13"/>
        <v>22000</v>
      </c>
      <c r="AB12" s="23">
        <f t="shared" si="13"/>
        <v>22000</v>
      </c>
      <c r="AC12" s="23">
        <f t="shared" si="13"/>
        <v>22000</v>
      </c>
      <c r="AD12" s="23">
        <f t="shared" si="13"/>
        <v>22000</v>
      </c>
      <c r="AE12" s="23">
        <f t="shared" si="13"/>
        <v>22000</v>
      </c>
      <c r="AF12" s="23">
        <f aca="true" t="shared" si="14" ref="AF12:AQ12">$E$12/12</f>
        <v>40000</v>
      </c>
      <c r="AG12" s="23">
        <f t="shared" si="14"/>
        <v>40000</v>
      </c>
      <c r="AH12" s="23">
        <f t="shared" si="14"/>
        <v>40000</v>
      </c>
      <c r="AI12" s="23">
        <f t="shared" si="14"/>
        <v>40000</v>
      </c>
      <c r="AJ12" s="23">
        <f t="shared" si="14"/>
        <v>40000</v>
      </c>
      <c r="AK12" s="23">
        <f t="shared" si="14"/>
        <v>40000</v>
      </c>
      <c r="AL12" s="23">
        <f t="shared" si="14"/>
        <v>40000</v>
      </c>
      <c r="AM12" s="23">
        <f t="shared" si="14"/>
        <v>40000</v>
      </c>
      <c r="AN12" s="23">
        <f t="shared" si="14"/>
        <v>40000</v>
      </c>
      <c r="AO12" s="23">
        <f t="shared" si="14"/>
        <v>40000</v>
      </c>
      <c r="AP12" s="23">
        <f t="shared" si="14"/>
        <v>40000</v>
      </c>
      <c r="AQ12" s="112">
        <f t="shared" si="14"/>
        <v>40000</v>
      </c>
      <c r="AR12" s="157"/>
      <c r="AS12" s="157"/>
    </row>
    <row r="13" spans="1:45" ht="12.7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2.75">
      <c r="A14" s="32" t="s">
        <v>177</v>
      </c>
      <c r="B14" s="26"/>
      <c r="C14" s="23">
        <f>C273</f>
        <v>0</v>
      </c>
      <c r="D14" s="23">
        <f>D273</f>
        <v>120000</v>
      </c>
      <c r="E14" s="23">
        <f>E273</f>
        <v>180000</v>
      </c>
      <c r="F14" s="108" t="s">
        <v>216</v>
      </c>
      <c r="H14" s="111">
        <f>C14/12</f>
        <v>0</v>
      </c>
      <c r="I14" s="23">
        <f>$C$14/12</f>
        <v>0</v>
      </c>
      <c r="J14" s="23">
        <f aca="true" t="shared" si="15" ref="J14:S14">$C$14/12</f>
        <v>0</v>
      </c>
      <c r="K14" s="23">
        <f t="shared" si="15"/>
        <v>0</v>
      </c>
      <c r="L14" s="23">
        <f t="shared" si="15"/>
        <v>0</v>
      </c>
      <c r="M14" s="23">
        <f t="shared" si="15"/>
        <v>0</v>
      </c>
      <c r="N14" s="23">
        <f t="shared" si="15"/>
        <v>0</v>
      </c>
      <c r="O14" s="23">
        <f t="shared" si="15"/>
        <v>0</v>
      </c>
      <c r="P14" s="23">
        <f t="shared" si="15"/>
        <v>0</v>
      </c>
      <c r="Q14" s="23">
        <f t="shared" si="15"/>
        <v>0</v>
      </c>
      <c r="R14" s="23">
        <f t="shared" si="15"/>
        <v>0</v>
      </c>
      <c r="S14" s="23">
        <f t="shared" si="15"/>
        <v>0</v>
      </c>
      <c r="T14" s="23">
        <f>$D$14/12</f>
        <v>10000</v>
      </c>
      <c r="U14" s="23">
        <f aca="true" t="shared" si="16" ref="U14:AE14">$D$14/12</f>
        <v>10000</v>
      </c>
      <c r="V14" s="23">
        <f t="shared" si="16"/>
        <v>10000</v>
      </c>
      <c r="W14" s="23">
        <f t="shared" si="16"/>
        <v>10000</v>
      </c>
      <c r="X14" s="23">
        <f t="shared" si="16"/>
        <v>10000</v>
      </c>
      <c r="Y14" s="23">
        <f t="shared" si="16"/>
        <v>10000</v>
      </c>
      <c r="Z14" s="23">
        <f t="shared" si="16"/>
        <v>10000</v>
      </c>
      <c r="AA14" s="23">
        <f t="shared" si="16"/>
        <v>10000</v>
      </c>
      <c r="AB14" s="23">
        <f t="shared" si="16"/>
        <v>10000</v>
      </c>
      <c r="AC14" s="23">
        <f t="shared" si="16"/>
        <v>10000</v>
      </c>
      <c r="AD14" s="23">
        <f t="shared" si="16"/>
        <v>10000</v>
      </c>
      <c r="AE14" s="23">
        <f t="shared" si="16"/>
        <v>10000</v>
      </c>
      <c r="AF14" s="23">
        <f>$E$14/12</f>
        <v>15000</v>
      </c>
      <c r="AG14" s="23">
        <f aca="true" t="shared" si="17" ref="AG14:AQ14">$E$14/12</f>
        <v>15000</v>
      </c>
      <c r="AH14" s="23">
        <f t="shared" si="17"/>
        <v>15000</v>
      </c>
      <c r="AI14" s="23">
        <f t="shared" si="17"/>
        <v>15000</v>
      </c>
      <c r="AJ14" s="23">
        <f t="shared" si="17"/>
        <v>15000</v>
      </c>
      <c r="AK14" s="23">
        <f t="shared" si="17"/>
        <v>15000</v>
      </c>
      <c r="AL14" s="23">
        <f t="shared" si="17"/>
        <v>15000</v>
      </c>
      <c r="AM14" s="23">
        <f t="shared" si="17"/>
        <v>15000</v>
      </c>
      <c r="AN14" s="23">
        <f t="shared" si="17"/>
        <v>15000</v>
      </c>
      <c r="AO14" s="23">
        <f t="shared" si="17"/>
        <v>15000</v>
      </c>
      <c r="AP14" s="23">
        <f t="shared" si="17"/>
        <v>15000</v>
      </c>
      <c r="AQ14" s="112">
        <f t="shared" si="17"/>
        <v>15000</v>
      </c>
      <c r="AR14" s="157"/>
      <c r="AS14" s="157"/>
    </row>
    <row r="15" spans="1:45" ht="12.7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2.75">
      <c r="A16" s="32" t="s">
        <v>178</v>
      </c>
      <c r="B16" s="26"/>
      <c r="C16" s="23">
        <v>0</v>
      </c>
      <c r="D16" s="23">
        <v>0</v>
      </c>
      <c r="E16" s="23">
        <v>0</v>
      </c>
      <c r="F16" s="108" t="s">
        <v>432</v>
      </c>
      <c r="H16" s="111">
        <f>C16/12</f>
        <v>0</v>
      </c>
      <c r="I16" s="23">
        <f>$C$16/12</f>
        <v>0</v>
      </c>
      <c r="J16" s="23">
        <f aca="true" t="shared" si="18" ref="J16:S16">$C$16/12</f>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$D$16/12</f>
        <v>0</v>
      </c>
      <c r="U16" s="23">
        <f aca="true" t="shared" si="19" ref="U16:AE16">$D$16/12</f>
        <v>0</v>
      </c>
      <c r="V16" s="23">
        <f t="shared" si="19"/>
        <v>0</v>
      </c>
      <c r="W16" s="23">
        <f t="shared" si="19"/>
        <v>0</v>
      </c>
      <c r="X16" s="23">
        <f t="shared" si="19"/>
        <v>0</v>
      </c>
      <c r="Y16" s="23">
        <f t="shared" si="19"/>
        <v>0</v>
      </c>
      <c r="Z16" s="23">
        <f t="shared" si="19"/>
        <v>0</v>
      </c>
      <c r="AA16" s="23">
        <f t="shared" si="19"/>
        <v>0</v>
      </c>
      <c r="AB16" s="23">
        <f t="shared" si="19"/>
        <v>0</v>
      </c>
      <c r="AC16" s="23">
        <f t="shared" si="19"/>
        <v>0</v>
      </c>
      <c r="AD16" s="23">
        <f t="shared" si="19"/>
        <v>0</v>
      </c>
      <c r="AE16" s="23">
        <f t="shared" si="19"/>
        <v>0</v>
      </c>
      <c r="AF16" s="23">
        <f>$E$16/12</f>
        <v>0</v>
      </c>
      <c r="AG16" s="23">
        <f aca="true" t="shared" si="20" ref="AG16:AQ16">$E$16/12</f>
        <v>0</v>
      </c>
      <c r="AH16" s="23">
        <f t="shared" si="20"/>
        <v>0</v>
      </c>
      <c r="AI16" s="23">
        <f t="shared" si="20"/>
        <v>0</v>
      </c>
      <c r="AJ16" s="23">
        <f t="shared" si="20"/>
        <v>0</v>
      </c>
      <c r="AK16" s="23">
        <f t="shared" si="20"/>
        <v>0</v>
      </c>
      <c r="AL16" s="23">
        <f t="shared" si="20"/>
        <v>0</v>
      </c>
      <c r="AM16" s="23">
        <f t="shared" si="20"/>
        <v>0</v>
      </c>
      <c r="AN16" s="23">
        <f t="shared" si="20"/>
        <v>0</v>
      </c>
      <c r="AO16" s="23">
        <f t="shared" si="20"/>
        <v>0</v>
      </c>
      <c r="AP16" s="23">
        <f t="shared" si="20"/>
        <v>0</v>
      </c>
      <c r="AQ16" s="112">
        <f t="shared" si="20"/>
        <v>0</v>
      </c>
    </row>
    <row r="17" spans="1:43" ht="12.75">
      <c r="A17" s="32"/>
      <c r="B17" s="26"/>
      <c r="C17" s="37"/>
      <c r="D17" s="47"/>
      <c r="E17" s="47"/>
      <c r="F17" s="108"/>
      <c r="H17" s="154"/>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155"/>
    </row>
    <row r="18" spans="1:45" ht="12.75">
      <c r="A18" s="32" t="s">
        <v>179</v>
      </c>
      <c r="B18" s="26"/>
      <c r="C18" s="23">
        <v>0</v>
      </c>
      <c r="D18" s="23">
        <v>0</v>
      </c>
      <c r="E18" s="23">
        <v>0</v>
      </c>
      <c r="F18" s="108" t="s">
        <v>432</v>
      </c>
      <c r="H18" s="111">
        <f>C18/12</f>
        <v>0</v>
      </c>
      <c r="I18" s="23">
        <f>$C$18/12</f>
        <v>0</v>
      </c>
      <c r="J18" s="23">
        <f aca="true" t="shared" si="21" ref="J18:S18">$C$18/12</f>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$D$18/12</f>
        <v>0</v>
      </c>
      <c r="U18" s="23">
        <f aca="true" t="shared" si="22" ref="U18:AE18">$D$18/12</f>
        <v>0</v>
      </c>
      <c r="V18" s="23">
        <f t="shared" si="22"/>
        <v>0</v>
      </c>
      <c r="W18" s="23">
        <f t="shared" si="22"/>
        <v>0</v>
      </c>
      <c r="X18" s="23">
        <f t="shared" si="22"/>
        <v>0</v>
      </c>
      <c r="Y18" s="23">
        <f t="shared" si="22"/>
        <v>0</v>
      </c>
      <c r="Z18" s="23">
        <f t="shared" si="22"/>
        <v>0</v>
      </c>
      <c r="AA18" s="23">
        <f t="shared" si="22"/>
        <v>0</v>
      </c>
      <c r="AB18" s="23">
        <f t="shared" si="22"/>
        <v>0</v>
      </c>
      <c r="AC18" s="23">
        <f t="shared" si="22"/>
        <v>0</v>
      </c>
      <c r="AD18" s="23">
        <f t="shared" si="22"/>
        <v>0</v>
      </c>
      <c r="AE18" s="23">
        <f t="shared" si="22"/>
        <v>0</v>
      </c>
      <c r="AF18" s="23">
        <f>$E$18/12</f>
        <v>0</v>
      </c>
      <c r="AG18" s="23">
        <f aca="true" t="shared" si="23" ref="AG18:AQ18">$E$18/12</f>
        <v>0</v>
      </c>
      <c r="AH18" s="23">
        <f t="shared" si="23"/>
        <v>0</v>
      </c>
      <c r="AI18" s="23">
        <f t="shared" si="23"/>
        <v>0</v>
      </c>
      <c r="AJ18" s="23">
        <f t="shared" si="23"/>
        <v>0</v>
      </c>
      <c r="AK18" s="23">
        <f t="shared" si="23"/>
        <v>0</v>
      </c>
      <c r="AL18" s="23">
        <f t="shared" si="23"/>
        <v>0</v>
      </c>
      <c r="AM18" s="23">
        <f t="shared" si="23"/>
        <v>0</v>
      </c>
      <c r="AN18" s="23">
        <f t="shared" si="23"/>
        <v>0</v>
      </c>
      <c r="AO18" s="23">
        <f t="shared" si="23"/>
        <v>0</v>
      </c>
      <c r="AP18" s="23">
        <f t="shared" si="23"/>
        <v>0</v>
      </c>
      <c r="AQ18" s="112">
        <f t="shared" si="23"/>
        <v>0</v>
      </c>
      <c r="AR18" s="157"/>
      <c r="AS18" s="157"/>
    </row>
    <row r="19" spans="1:45" ht="12.7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3" s="138" customFormat="1" ht="13.5" thickBot="1">
      <c r="A20" s="159"/>
      <c r="B20" s="160"/>
      <c r="F20" s="161"/>
      <c r="H20" s="159"/>
      <c r="AQ20" s="161"/>
    </row>
    <row r="21" spans="1:43" ht="12.75">
      <c r="A21" s="32"/>
      <c r="B21" s="26"/>
      <c r="C21" s="26"/>
      <c r="D21" s="26"/>
      <c r="E21" s="26"/>
      <c r="F21" s="108"/>
      <c r="H21" s="11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112"/>
    </row>
    <row r="22" spans="1:43" ht="12.75">
      <c r="A22" s="162" t="s">
        <v>218</v>
      </c>
      <c r="B22" s="26"/>
      <c r="C22" s="23">
        <f>SUM(C4:C19)</f>
        <v>1996044.5614035088</v>
      </c>
      <c r="D22" s="23">
        <f>SUM(D4:D19)</f>
        <v>2840709.4736842103</v>
      </c>
      <c r="E22" s="23">
        <f>SUM(E4:E19)</f>
        <v>3506102.807017544</v>
      </c>
      <c r="F22" s="108"/>
      <c r="H22" s="111">
        <f>SUM(H4:H19)</f>
        <v>166337.04678362576</v>
      </c>
      <c r="I22" s="23">
        <f>SUM(I4:I19)</f>
        <v>166337.04678362576</v>
      </c>
      <c r="J22" s="23">
        <f aca="true" t="shared" si="24" ref="J22:AQ22">SUM(J4:J19)</f>
        <v>166337.04678362576</v>
      </c>
      <c r="K22" s="23">
        <f t="shared" si="24"/>
        <v>166337.04678362576</v>
      </c>
      <c r="L22" s="23">
        <f t="shared" si="24"/>
        <v>166337.04678362576</v>
      </c>
      <c r="M22" s="23">
        <f t="shared" si="24"/>
        <v>166337.04678362576</v>
      </c>
      <c r="N22" s="23">
        <f t="shared" si="24"/>
        <v>166337.04678362576</v>
      </c>
      <c r="O22" s="23">
        <f t="shared" si="24"/>
        <v>166337.04678362576</v>
      </c>
      <c r="P22" s="23">
        <f t="shared" si="24"/>
        <v>166337.04678362576</v>
      </c>
      <c r="Q22" s="23">
        <f t="shared" si="24"/>
        <v>166337.04678362576</v>
      </c>
      <c r="R22" s="23">
        <f t="shared" si="24"/>
        <v>166337.04678362576</v>
      </c>
      <c r="S22" s="23">
        <f t="shared" si="24"/>
        <v>166337.04678362576</v>
      </c>
      <c r="T22" s="23">
        <f t="shared" si="24"/>
        <v>236725.7894736842</v>
      </c>
      <c r="U22" s="23">
        <f t="shared" si="24"/>
        <v>236725.7894736842</v>
      </c>
      <c r="V22" s="23">
        <f t="shared" si="24"/>
        <v>236725.7894736842</v>
      </c>
      <c r="W22" s="23">
        <f t="shared" si="24"/>
        <v>236725.7894736842</v>
      </c>
      <c r="X22" s="23">
        <f t="shared" si="24"/>
        <v>236725.7894736842</v>
      </c>
      <c r="Y22" s="23">
        <f t="shared" si="24"/>
        <v>236725.7894736842</v>
      </c>
      <c r="Z22" s="23">
        <f t="shared" si="24"/>
        <v>236725.7894736842</v>
      </c>
      <c r="AA22" s="23">
        <f t="shared" si="24"/>
        <v>236725.7894736842</v>
      </c>
      <c r="AB22" s="23">
        <f t="shared" si="24"/>
        <v>236725.7894736842</v>
      </c>
      <c r="AC22" s="23">
        <f t="shared" si="24"/>
        <v>236725.7894736842</v>
      </c>
      <c r="AD22" s="23">
        <f t="shared" si="24"/>
        <v>236725.7894736842</v>
      </c>
      <c r="AE22" s="23">
        <f t="shared" si="24"/>
        <v>236725.7894736842</v>
      </c>
      <c r="AF22" s="23">
        <f t="shared" si="24"/>
        <v>292175.23391812865</v>
      </c>
      <c r="AG22" s="23">
        <f t="shared" si="24"/>
        <v>292175.23391812865</v>
      </c>
      <c r="AH22" s="23">
        <f t="shared" si="24"/>
        <v>292175.23391812865</v>
      </c>
      <c r="AI22" s="23">
        <f t="shared" si="24"/>
        <v>292175.23391812865</v>
      </c>
      <c r="AJ22" s="23">
        <f t="shared" si="24"/>
        <v>292175.23391812865</v>
      </c>
      <c r="AK22" s="23">
        <f t="shared" si="24"/>
        <v>292175.23391812865</v>
      </c>
      <c r="AL22" s="23">
        <f t="shared" si="24"/>
        <v>292175.23391812865</v>
      </c>
      <c r="AM22" s="23">
        <f t="shared" si="24"/>
        <v>292175.23391812865</v>
      </c>
      <c r="AN22" s="23">
        <f t="shared" si="24"/>
        <v>292175.23391812865</v>
      </c>
      <c r="AO22" s="23">
        <f t="shared" si="24"/>
        <v>292175.23391812865</v>
      </c>
      <c r="AP22" s="23">
        <f t="shared" si="24"/>
        <v>292175.23391812865</v>
      </c>
      <c r="AQ22" s="112">
        <f t="shared" si="24"/>
        <v>292175.23391812865</v>
      </c>
    </row>
    <row r="23" spans="1:43" ht="13.5" thickBot="1">
      <c r="A23" s="159"/>
      <c r="B23" s="138"/>
      <c r="C23" s="138"/>
      <c r="D23" s="138"/>
      <c r="E23" s="138"/>
      <c r="F23" s="161"/>
      <c r="H23" s="159"/>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61"/>
    </row>
    <row r="24" spans="1:43" ht="12.75">
      <c r="A24" s="26"/>
      <c r="B24" s="26"/>
      <c r="C24" s="26"/>
      <c r="D24" s="26"/>
      <c r="E24" s="26"/>
      <c r="F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row>
    <row r="25" spans="1:43" ht="13.5" thickBot="1">
      <c r="A25" s="26"/>
      <c r="B25" s="26"/>
      <c r="C25" s="26"/>
      <c r="D25" s="26"/>
      <c r="E25" s="26"/>
      <c r="F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row>
    <row r="26" spans="3:4" ht="13.5" thickBot="1">
      <c r="C26" s="128"/>
      <c r="D26" s="25" t="s">
        <v>181</v>
      </c>
    </row>
    <row r="27" ht="13.5" thickBot="1"/>
    <row r="28" spans="1:5" ht="13.5" customHeight="1">
      <c r="A28" s="70" t="s">
        <v>433</v>
      </c>
      <c r="B28" s="71"/>
      <c r="C28" s="71"/>
      <c r="D28" s="71"/>
      <c r="E28" s="331"/>
    </row>
    <row r="29" spans="1:5" ht="12.75">
      <c r="A29" s="16"/>
      <c r="B29" s="48"/>
      <c r="C29" s="55" t="s">
        <v>319</v>
      </c>
      <c r="D29" s="55" t="s">
        <v>320</v>
      </c>
      <c r="E29" s="130" t="s">
        <v>321</v>
      </c>
    </row>
    <row r="30" spans="1:6" ht="12.75">
      <c r="A30" s="16"/>
      <c r="B30" s="48" t="s">
        <v>188</v>
      </c>
      <c r="C30" s="86">
        <v>300000</v>
      </c>
      <c r="D30" s="86">
        <v>300000</v>
      </c>
      <c r="E30" s="87">
        <v>300000</v>
      </c>
      <c r="F30" s="167"/>
    </row>
    <row r="31" spans="1:5" ht="13.5" thickBot="1">
      <c r="A31" s="196"/>
      <c r="B31" s="138"/>
      <c r="C31" s="138"/>
      <c r="D31" s="138"/>
      <c r="E31" s="161"/>
    </row>
    <row r="34" spans="1:2" ht="12.75">
      <c r="A34" s="197" t="s">
        <v>434</v>
      </c>
      <c r="B34" s="167"/>
    </row>
    <row r="35" spans="1:2" ht="12.75">
      <c r="A35" s="171"/>
      <c r="B35" s="25" t="s">
        <v>192</v>
      </c>
    </row>
    <row r="36" spans="1:2" ht="12.75">
      <c r="A36" s="171"/>
      <c r="B36" s="25" t="s">
        <v>232</v>
      </c>
    </row>
    <row r="37" spans="1:2" ht="12.75">
      <c r="A37" s="171"/>
      <c r="B37" s="164" t="s">
        <v>173</v>
      </c>
    </row>
    <row r="38" ht="12.75">
      <c r="B38" s="164" t="s">
        <v>174</v>
      </c>
    </row>
    <row r="39" ht="12.75">
      <c r="B39" s="164" t="s">
        <v>34</v>
      </c>
    </row>
    <row r="40" ht="12.75">
      <c r="B40" s="164" t="s">
        <v>435</v>
      </c>
    </row>
    <row r="41" ht="13.5" thickBot="1">
      <c r="A41" s="171"/>
    </row>
    <row r="42" spans="1:8" ht="12.75">
      <c r="A42" s="70" t="s">
        <v>197</v>
      </c>
      <c r="B42" s="71"/>
      <c r="C42" s="71"/>
      <c r="D42" s="71"/>
      <c r="E42" s="331"/>
      <c r="H42" s="48"/>
    </row>
    <row r="43" spans="1:8" ht="12.75">
      <c r="A43" s="16"/>
      <c r="B43" s="48"/>
      <c r="C43" s="55" t="s">
        <v>319</v>
      </c>
      <c r="D43" s="55" t="s">
        <v>320</v>
      </c>
      <c r="E43" s="130" t="s">
        <v>321</v>
      </c>
      <c r="H43" s="48"/>
    </row>
    <row r="44" spans="1:8" ht="12.75">
      <c r="A44" s="16"/>
      <c r="B44" s="48" t="s">
        <v>116</v>
      </c>
      <c r="C44" s="332">
        <v>6</v>
      </c>
      <c r="D44" s="332">
        <v>3</v>
      </c>
      <c r="E44" s="333">
        <v>3</v>
      </c>
      <c r="H44" s="48"/>
    </row>
    <row r="45" spans="1:8" ht="12.75">
      <c r="A45" s="16"/>
      <c r="B45" s="48" t="s">
        <v>117</v>
      </c>
      <c r="C45" s="332"/>
      <c r="D45" s="332">
        <v>5</v>
      </c>
      <c r="E45" s="333">
        <v>6</v>
      </c>
      <c r="H45" s="48"/>
    </row>
    <row r="46" spans="1:8" ht="12.75">
      <c r="A46" s="16"/>
      <c r="B46" s="48" t="s">
        <v>118</v>
      </c>
      <c r="C46" s="55">
        <f>SUM(C44:C45)</f>
        <v>6</v>
      </c>
      <c r="D46" s="55">
        <f>SUM(D44:D45)</f>
        <v>8</v>
      </c>
      <c r="E46" s="130">
        <f>SUM(E44:E45)</f>
        <v>9</v>
      </c>
      <c r="H46" s="48"/>
    </row>
    <row r="47" spans="1:8" ht="12.75">
      <c r="A47" s="16"/>
      <c r="B47" s="48" t="s">
        <v>119</v>
      </c>
      <c r="C47" s="332">
        <v>200</v>
      </c>
      <c r="D47" s="332">
        <v>200</v>
      </c>
      <c r="E47" s="333">
        <v>200</v>
      </c>
      <c r="H47" s="48"/>
    </row>
    <row r="48" spans="1:8" ht="12.75">
      <c r="A48" s="16"/>
      <c r="B48" s="48"/>
      <c r="C48" s="55"/>
      <c r="D48" s="55"/>
      <c r="E48" s="130"/>
      <c r="H48" s="48"/>
    </row>
    <row r="49" spans="1:8" ht="12.75">
      <c r="A49" s="16"/>
      <c r="B49" s="48"/>
      <c r="C49" s="55"/>
      <c r="D49" s="55"/>
      <c r="E49" s="130"/>
      <c r="H49" s="48"/>
    </row>
    <row r="50" spans="1:8" ht="12.75">
      <c r="A50" s="16"/>
      <c r="B50" s="48" t="s">
        <v>188</v>
      </c>
      <c r="C50" s="173">
        <f>C30</f>
        <v>300000</v>
      </c>
      <c r="D50" s="173">
        <f>D30</f>
        <v>300000</v>
      </c>
      <c r="E50" s="174">
        <f>E30</f>
        <v>300000</v>
      </c>
      <c r="H50" s="48"/>
    </row>
    <row r="51" spans="1:8" ht="12.75">
      <c r="A51" s="16"/>
      <c r="B51" s="26" t="s">
        <v>543</v>
      </c>
      <c r="C51" s="334">
        <v>0.005</v>
      </c>
      <c r="D51" s="334">
        <v>0.005</v>
      </c>
      <c r="E51" s="335">
        <v>0.005</v>
      </c>
      <c r="H51" s="17"/>
    </row>
    <row r="52" spans="1:8" ht="12.75">
      <c r="A52" s="16"/>
      <c r="B52" s="165" t="s">
        <v>544</v>
      </c>
      <c r="C52" s="173">
        <f>C50*C51</f>
        <v>1500</v>
      </c>
      <c r="D52" s="173">
        <f>D50*D51</f>
        <v>1500</v>
      </c>
      <c r="E52" s="174">
        <f>E50*E51</f>
        <v>1500</v>
      </c>
      <c r="H52" s="17"/>
    </row>
    <row r="53" spans="1:8" ht="12.75">
      <c r="A53" s="16"/>
      <c r="B53" s="48"/>
      <c r="C53" s="26"/>
      <c r="D53" s="26"/>
      <c r="E53" s="130"/>
      <c r="H53" s="17"/>
    </row>
    <row r="54" spans="1:8" ht="12.75">
      <c r="A54" s="16"/>
      <c r="B54" s="26" t="s">
        <v>123</v>
      </c>
      <c r="C54" s="76">
        <v>0.6</v>
      </c>
      <c r="D54" s="76">
        <v>0.6</v>
      </c>
      <c r="E54" s="69">
        <v>0.6</v>
      </c>
      <c r="F54" s="175"/>
      <c r="H54" s="165"/>
    </row>
    <row r="55" spans="1:8" ht="12.75">
      <c r="A55" s="16"/>
      <c r="B55" s="165" t="s">
        <v>122</v>
      </c>
      <c r="C55" s="76">
        <v>0.3</v>
      </c>
      <c r="D55" s="76">
        <v>0.3</v>
      </c>
      <c r="E55" s="69">
        <v>0.3</v>
      </c>
      <c r="H55" s="17"/>
    </row>
    <row r="56" spans="1:8" ht="12.75">
      <c r="A56" s="16"/>
      <c r="B56" s="165" t="s">
        <v>35</v>
      </c>
      <c r="C56" s="76">
        <v>0.1</v>
      </c>
      <c r="D56" s="76">
        <v>0.1</v>
      </c>
      <c r="E56" s="69">
        <v>0.1</v>
      </c>
      <c r="F56" s="175"/>
      <c r="H56" s="17"/>
    </row>
    <row r="57" spans="1:8" ht="12.75">
      <c r="A57" s="16"/>
      <c r="B57" s="26"/>
      <c r="C57" s="23"/>
      <c r="D57" s="23"/>
      <c r="E57" s="112"/>
      <c r="H57" s="17"/>
    </row>
    <row r="58" spans="1:8" ht="12.75">
      <c r="A58" s="16"/>
      <c r="B58" s="48" t="s">
        <v>125</v>
      </c>
      <c r="C58" s="74">
        <v>0.2</v>
      </c>
      <c r="D58" s="74">
        <v>0.2</v>
      </c>
      <c r="E58" s="75">
        <v>0.2</v>
      </c>
      <c r="H58" s="17"/>
    </row>
    <row r="59" spans="1:8" ht="12.75">
      <c r="A59" s="16"/>
      <c r="B59" s="165" t="s">
        <v>124</v>
      </c>
      <c r="C59" s="74">
        <v>0.6</v>
      </c>
      <c r="D59" s="74">
        <v>0.6</v>
      </c>
      <c r="E59" s="75">
        <v>0.6</v>
      </c>
      <c r="H59" s="17"/>
    </row>
    <row r="60" spans="1:8" ht="12.75">
      <c r="A60" s="16"/>
      <c r="B60" s="48" t="s">
        <v>36</v>
      </c>
      <c r="C60" s="74">
        <v>20</v>
      </c>
      <c r="D60" s="74">
        <v>20</v>
      </c>
      <c r="E60" s="75">
        <v>20</v>
      </c>
      <c r="H60" s="17"/>
    </row>
    <row r="61" spans="1:8" ht="12.75">
      <c r="A61" s="16"/>
      <c r="B61" s="48"/>
      <c r="C61" s="17"/>
      <c r="D61" s="17"/>
      <c r="E61" s="18"/>
      <c r="H61" s="17"/>
    </row>
    <row r="62" spans="1:8" ht="12.75">
      <c r="A62" s="16"/>
      <c r="B62" s="48" t="s">
        <v>545</v>
      </c>
      <c r="C62" s="332">
        <v>1</v>
      </c>
      <c r="D62" s="332">
        <v>1</v>
      </c>
      <c r="E62" s="333">
        <v>1</v>
      </c>
      <c r="F62" s="48"/>
      <c r="H62" s="17"/>
    </row>
    <row r="63" spans="1:8" ht="12.75">
      <c r="A63" s="16"/>
      <c r="B63" s="48" t="s">
        <v>546</v>
      </c>
      <c r="C63" s="86">
        <v>10000</v>
      </c>
      <c r="D63" s="86">
        <v>10000</v>
      </c>
      <c r="E63" s="87">
        <v>10000</v>
      </c>
      <c r="F63" s="48"/>
      <c r="H63" s="17"/>
    </row>
    <row r="64" spans="1:8" ht="12.75">
      <c r="A64" s="16"/>
      <c r="B64" s="48" t="s">
        <v>547</v>
      </c>
      <c r="C64" s="76">
        <v>0.3</v>
      </c>
      <c r="D64" s="76">
        <v>0.3</v>
      </c>
      <c r="E64" s="69">
        <v>0.3</v>
      </c>
      <c r="F64" s="48"/>
      <c r="H64" s="17"/>
    </row>
    <row r="65" spans="1:8" ht="12.75">
      <c r="A65" s="16"/>
      <c r="B65" s="48"/>
      <c r="C65" s="17"/>
      <c r="D65" s="17"/>
      <c r="E65" s="18"/>
      <c r="F65" s="48"/>
      <c r="H65" s="17"/>
    </row>
    <row r="66" spans="1:8" ht="12.75">
      <c r="A66" s="16"/>
      <c r="B66" s="48" t="s">
        <v>548</v>
      </c>
      <c r="C66" s="84">
        <v>125</v>
      </c>
      <c r="D66" s="84">
        <v>125</v>
      </c>
      <c r="E66" s="85">
        <v>125</v>
      </c>
      <c r="F66" s="48"/>
      <c r="H66" s="17"/>
    </row>
    <row r="67" spans="1:8" ht="12.75">
      <c r="A67" s="16"/>
      <c r="B67" s="48"/>
      <c r="C67" s="17"/>
      <c r="D67" s="17"/>
      <c r="E67" s="18"/>
      <c r="F67" s="48"/>
      <c r="H67" s="17"/>
    </row>
    <row r="68" spans="1:8" ht="12.75">
      <c r="A68" s="16"/>
      <c r="B68" s="48" t="s">
        <v>549</v>
      </c>
      <c r="C68" s="86">
        <v>52</v>
      </c>
      <c r="D68" s="86">
        <v>52</v>
      </c>
      <c r="E68" s="87">
        <v>52</v>
      </c>
      <c r="F68" s="48"/>
      <c r="H68" s="17"/>
    </row>
    <row r="69" spans="1:8" ht="12.75">
      <c r="A69" s="16"/>
      <c r="B69" s="48" t="s">
        <v>550</v>
      </c>
      <c r="C69" s="76">
        <v>0.2</v>
      </c>
      <c r="D69" s="76">
        <v>0.2</v>
      </c>
      <c r="E69" s="69">
        <v>0.2</v>
      </c>
      <c r="F69" s="48"/>
      <c r="H69" s="17"/>
    </row>
    <row r="70" spans="1:8" ht="12.75">
      <c r="A70" s="16"/>
      <c r="B70" s="48" t="s">
        <v>111</v>
      </c>
      <c r="C70" s="84">
        <v>1000</v>
      </c>
      <c r="D70" s="84">
        <v>1000</v>
      </c>
      <c r="E70" s="85">
        <v>1000</v>
      </c>
      <c r="F70" s="48"/>
      <c r="H70" s="17"/>
    </row>
    <row r="71" spans="1:8" ht="12.75">
      <c r="A71" s="16"/>
      <c r="B71" s="48"/>
      <c r="C71" s="17"/>
      <c r="D71" s="17"/>
      <c r="E71" s="18"/>
      <c r="F71" s="48"/>
      <c r="H71" s="17"/>
    </row>
    <row r="72" spans="1:6" ht="13.5" thickBot="1">
      <c r="A72" s="19"/>
      <c r="B72" s="20"/>
      <c r="C72" s="20"/>
      <c r="D72" s="20"/>
      <c r="E72" s="21"/>
      <c r="F72" s="17"/>
    </row>
    <row r="73" spans="1:6" ht="12.75">
      <c r="A73" s="171"/>
      <c r="F73" s="17"/>
    </row>
    <row r="74" spans="3:5" ht="12.75">
      <c r="C74" s="169" t="s">
        <v>319</v>
      </c>
      <c r="D74" s="169" t="s">
        <v>320</v>
      </c>
      <c r="E74" s="169" t="s">
        <v>321</v>
      </c>
    </row>
    <row r="76" spans="1:43" ht="12.75">
      <c r="A76" s="25" t="s">
        <v>287</v>
      </c>
      <c r="C76" s="136">
        <f>C77+C78</f>
        <v>928400</v>
      </c>
      <c r="D76" s="136">
        <f>D77+D78</f>
        <v>1108400</v>
      </c>
      <c r="E76" s="136">
        <f>E77+E78</f>
        <v>1198400</v>
      </c>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row>
    <row r="77" spans="2:43" ht="12.75">
      <c r="B77" s="25" t="s">
        <v>551</v>
      </c>
      <c r="C77" s="23">
        <f>((C50*C51)*C54*C46*C47*C58)+((C50*C51)*C55*C46*C47*C59)+((C50*C51)*C56*C60)</f>
        <v>543000</v>
      </c>
      <c r="D77" s="23">
        <f>((D50*D51)*D54*D46*D47*D58)+((D50*D51)*D55*D46*D47*D59)+((D50*D51)*D56*D60)</f>
        <v>723000</v>
      </c>
      <c r="E77" s="23">
        <f>((E50*E51)*E54*E46*E47*E58)+((E50*E51)*E55*E46*E47*E59)+((E50*E51)*E56*E60)</f>
        <v>813000</v>
      </c>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row>
    <row r="78" spans="2:43" ht="12.75">
      <c r="B78" s="25" t="s">
        <v>552</v>
      </c>
      <c r="C78" s="23">
        <f>((C62*C63*C64)*C66)+(C68*C69*C70)</f>
        <v>385400</v>
      </c>
      <c r="D78" s="23">
        <f>((D62*D63*D64)*D66)+(D68*D69*D70)</f>
        <v>385400</v>
      </c>
      <c r="E78" s="23">
        <f>((E62*E63*E64)*E66)+(E68*E69*E70)</f>
        <v>385400</v>
      </c>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row>
    <row r="81" spans="3:43" ht="12.75">
      <c r="C81" s="172"/>
      <c r="D81" s="172"/>
      <c r="E81" s="172"/>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row>
    <row r="82" spans="1:2" ht="12.75">
      <c r="A82" s="197" t="s">
        <v>553</v>
      </c>
      <c r="B82" s="167"/>
    </row>
    <row r="83" spans="1:2" ht="12.75">
      <c r="A83" s="99"/>
      <c r="B83" s="25" t="s">
        <v>554</v>
      </c>
    </row>
    <row r="84" spans="1:2" ht="12.75">
      <c r="A84" s="99"/>
      <c r="B84" s="164" t="s">
        <v>555</v>
      </c>
    </row>
    <row r="85" spans="1:2" ht="12.75">
      <c r="A85" s="99"/>
      <c r="B85" s="164" t="s">
        <v>556</v>
      </c>
    </row>
    <row r="86" spans="1:2" ht="12.75">
      <c r="A86" s="99"/>
      <c r="B86" s="164" t="s">
        <v>557</v>
      </c>
    </row>
    <row r="87" ht="13.5" thickBot="1"/>
    <row r="88" spans="1:5" ht="12.75">
      <c r="A88" s="70" t="s">
        <v>197</v>
      </c>
      <c r="B88" s="71"/>
      <c r="C88" s="71"/>
      <c r="D88" s="71"/>
      <c r="E88" s="331"/>
    </row>
    <row r="89" spans="1:5" ht="12.75">
      <c r="A89" s="16"/>
      <c r="B89" s="48"/>
      <c r="C89" s="55" t="s">
        <v>319</v>
      </c>
      <c r="D89" s="55" t="s">
        <v>320</v>
      </c>
      <c r="E89" s="130" t="s">
        <v>321</v>
      </c>
    </row>
    <row r="90" spans="1:5" ht="12.75">
      <c r="A90" s="16"/>
      <c r="B90" s="48"/>
      <c r="C90" s="55"/>
      <c r="D90" s="55"/>
      <c r="E90" s="130"/>
    </row>
    <row r="91" spans="1:8" ht="12.75">
      <c r="A91" s="16"/>
      <c r="B91" s="17" t="s">
        <v>188</v>
      </c>
      <c r="C91" s="173">
        <f>C30</f>
        <v>300000</v>
      </c>
      <c r="D91" s="173">
        <f>D30</f>
        <v>300000</v>
      </c>
      <c r="E91" s="174">
        <f>E30</f>
        <v>300000</v>
      </c>
      <c r="H91" s="48"/>
    </row>
    <row r="92" spans="1:8" ht="12.75">
      <c r="A92" s="16"/>
      <c r="B92" s="17" t="s">
        <v>558</v>
      </c>
      <c r="C92" s="76">
        <v>0.05</v>
      </c>
      <c r="D92" s="76">
        <v>0.05</v>
      </c>
      <c r="E92" s="69">
        <v>0.05</v>
      </c>
      <c r="H92" s="26"/>
    </row>
    <row r="93" spans="1:8" ht="12.75">
      <c r="A93" s="16"/>
      <c r="B93" s="17" t="s">
        <v>559</v>
      </c>
      <c r="C93" s="76">
        <v>0.04</v>
      </c>
      <c r="D93" s="76">
        <v>0.04</v>
      </c>
      <c r="E93" s="69">
        <v>0.04</v>
      </c>
      <c r="H93" s="48"/>
    </row>
    <row r="94" spans="1:8" ht="12.75">
      <c r="A94" s="16"/>
      <c r="B94" s="17" t="s">
        <v>560</v>
      </c>
      <c r="C94" s="173">
        <f>C91*C92*C93</f>
        <v>600</v>
      </c>
      <c r="D94" s="173">
        <f>D91*D92*D93</f>
        <v>600</v>
      </c>
      <c r="E94" s="174">
        <f>E91*E92*E93</f>
        <v>600</v>
      </c>
      <c r="H94" s="48"/>
    </row>
    <row r="95" spans="1:8" ht="12.75">
      <c r="A95" s="16"/>
      <c r="B95" s="17"/>
      <c r="C95" s="173"/>
      <c r="D95" s="173"/>
      <c r="E95" s="174"/>
      <c r="H95" s="48"/>
    </row>
    <row r="96" spans="1:8" ht="12.75">
      <c r="A96" s="16"/>
      <c r="B96" s="17" t="s">
        <v>561</v>
      </c>
      <c r="C96" s="76">
        <v>0.03</v>
      </c>
      <c r="D96" s="76">
        <v>0.03</v>
      </c>
      <c r="E96" s="69">
        <v>0.03</v>
      </c>
      <c r="H96" s="48"/>
    </row>
    <row r="97" spans="1:8" ht="12.75">
      <c r="A97" s="16"/>
      <c r="B97" s="17" t="s">
        <v>562</v>
      </c>
      <c r="C97" s="173">
        <f>C91*C92*C96</f>
        <v>450</v>
      </c>
      <c r="D97" s="173">
        <f>D91*D92*D96</f>
        <v>450</v>
      </c>
      <c r="E97" s="174">
        <f>E91*E92*E96</f>
        <v>450</v>
      </c>
      <c r="H97" s="48"/>
    </row>
    <row r="98" spans="1:8" ht="12.75">
      <c r="A98" s="16"/>
      <c r="B98" s="17"/>
      <c r="C98" s="173"/>
      <c r="D98" s="173"/>
      <c r="E98" s="174"/>
      <c r="H98" s="48"/>
    </row>
    <row r="99" spans="1:8" ht="12.75">
      <c r="A99" s="16"/>
      <c r="B99" s="17" t="s">
        <v>563</v>
      </c>
      <c r="C99" s="82">
        <v>0.001</v>
      </c>
      <c r="D99" s="82">
        <v>0.001</v>
      </c>
      <c r="E99" s="335">
        <v>0.001</v>
      </c>
      <c r="H99" s="26"/>
    </row>
    <row r="100" spans="1:8" ht="12.75">
      <c r="A100" s="16"/>
      <c r="B100" s="17" t="s">
        <v>464</v>
      </c>
      <c r="C100" s="173">
        <f>C91*C92*C99</f>
        <v>15</v>
      </c>
      <c r="D100" s="173">
        <f>D91*D92*D99</f>
        <v>15</v>
      </c>
      <c r="E100" s="174">
        <f>E91*E92*E99</f>
        <v>15</v>
      </c>
      <c r="H100" s="26"/>
    </row>
    <row r="101" spans="1:8" ht="12.75">
      <c r="A101" s="16"/>
      <c r="B101" s="17"/>
      <c r="C101" s="17"/>
      <c r="D101" s="17"/>
      <c r="E101" s="18"/>
      <c r="H101" s="26"/>
    </row>
    <row r="102" spans="1:8" ht="12.75">
      <c r="A102" s="16"/>
      <c r="B102" s="17" t="s">
        <v>8</v>
      </c>
      <c r="C102" s="86">
        <v>3</v>
      </c>
      <c r="D102" s="86">
        <v>4</v>
      </c>
      <c r="E102" s="87">
        <v>5</v>
      </c>
      <c r="H102" s="26"/>
    </row>
    <row r="103" spans="1:8" ht="12.75">
      <c r="A103" s="16"/>
      <c r="B103" s="17"/>
      <c r="C103" s="17"/>
      <c r="D103" s="17"/>
      <c r="E103" s="18"/>
      <c r="H103" s="26"/>
    </row>
    <row r="104" spans="1:8" ht="12.75">
      <c r="A104" s="16"/>
      <c r="B104" s="17" t="s">
        <v>465</v>
      </c>
      <c r="C104" s="84">
        <v>50</v>
      </c>
      <c r="D104" s="84">
        <v>50</v>
      </c>
      <c r="E104" s="85">
        <v>50</v>
      </c>
      <c r="H104" s="165"/>
    </row>
    <row r="105" spans="1:8" ht="12.75">
      <c r="A105" s="16"/>
      <c r="B105" s="17" t="s">
        <v>466</v>
      </c>
      <c r="C105" s="86">
        <v>2</v>
      </c>
      <c r="D105" s="86">
        <v>2</v>
      </c>
      <c r="E105" s="87">
        <v>2</v>
      </c>
      <c r="H105" s="165"/>
    </row>
    <row r="106" spans="1:8" ht="12.75">
      <c r="A106" s="16"/>
      <c r="B106" s="17"/>
      <c r="C106" s="23"/>
      <c r="D106" s="23"/>
      <c r="E106" s="112"/>
      <c r="H106" s="26"/>
    </row>
    <row r="107" spans="1:8" ht="12.75">
      <c r="A107" s="16"/>
      <c r="B107" s="17" t="s">
        <v>467</v>
      </c>
      <c r="C107" s="84">
        <v>400</v>
      </c>
      <c r="D107" s="84">
        <v>400</v>
      </c>
      <c r="E107" s="85">
        <v>400</v>
      </c>
      <c r="H107" s="48"/>
    </row>
    <row r="108" spans="1:8" ht="12.75">
      <c r="A108" s="16"/>
      <c r="B108" s="8" t="s">
        <v>468</v>
      </c>
      <c r="C108" s="84">
        <v>500</v>
      </c>
      <c r="D108" s="84">
        <v>500</v>
      </c>
      <c r="E108" s="85">
        <v>500</v>
      </c>
      <c r="H108" s="26"/>
    </row>
    <row r="109" spans="1:8" ht="12.75">
      <c r="A109" s="16"/>
      <c r="B109" s="17"/>
      <c r="C109" s="17"/>
      <c r="D109" s="11"/>
      <c r="E109" s="166"/>
      <c r="H109" s="26"/>
    </row>
    <row r="110" spans="1:8" ht="13.5" thickBot="1">
      <c r="A110" s="19"/>
      <c r="B110" s="20"/>
      <c r="C110" s="20"/>
      <c r="D110" s="20"/>
      <c r="E110" s="21"/>
      <c r="H110" s="48"/>
    </row>
    <row r="111" ht="12.75">
      <c r="H111" s="48"/>
    </row>
    <row r="112" spans="3:8" ht="12.75">
      <c r="C112" s="169" t="s">
        <v>319</v>
      </c>
      <c r="D112" s="169" t="s">
        <v>320</v>
      </c>
      <c r="E112" s="169" t="s">
        <v>321</v>
      </c>
      <c r="H112" s="17"/>
    </row>
    <row r="114" spans="1:43" ht="12.75">
      <c r="A114" s="25" t="s">
        <v>430</v>
      </c>
      <c r="C114" s="23">
        <f>C116+C115</f>
        <v>742500</v>
      </c>
      <c r="D114" s="23">
        <f>D116+D115</f>
        <v>990000</v>
      </c>
      <c r="E114" s="23">
        <f>E116+E115</f>
        <v>1237500</v>
      </c>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row>
    <row r="115" spans="2:43" ht="12.75">
      <c r="B115" s="25" t="s">
        <v>469</v>
      </c>
      <c r="C115" s="23">
        <f>((C91*C92*C93)*C104*C105)*C102</f>
        <v>180000</v>
      </c>
      <c r="D115" s="23">
        <f>((D91*D92*D93)*D104*D105)*D102</f>
        <v>240000</v>
      </c>
      <c r="E115" s="23">
        <f>((E91*E92*E93)*E104*E105)*E102</f>
        <v>300000</v>
      </c>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row>
    <row r="116" spans="2:43" ht="12.75">
      <c r="B116" s="25" t="s">
        <v>348</v>
      </c>
      <c r="C116" s="23">
        <f>(((C91*C92*C96)*C107)+((C91*C92*C99)*C108))*C102</f>
        <v>562500</v>
      </c>
      <c r="D116" s="23">
        <f>(((D91*D92*D96)*D107)+((D91*D92*D99)*D108))*D102</f>
        <v>750000</v>
      </c>
      <c r="E116" s="23">
        <f>(((E91*E92*E96)*E107)+((E91*E92*E99)*E108))*E102</f>
        <v>937500</v>
      </c>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row>
    <row r="120" spans="1:2" ht="12.75">
      <c r="A120" s="197" t="s">
        <v>349</v>
      </c>
      <c r="B120" s="167"/>
    </row>
    <row r="121" spans="1:2" ht="12.75">
      <c r="A121" s="99"/>
      <c r="B121" s="25" t="s">
        <v>289</v>
      </c>
    </row>
    <row r="122" spans="1:2" ht="12.75">
      <c r="A122" s="99"/>
      <c r="B122" s="25" t="s">
        <v>200</v>
      </c>
    </row>
    <row r="123" spans="1:2" ht="12.75">
      <c r="A123" s="99"/>
      <c r="B123" s="25" t="s">
        <v>201</v>
      </c>
    </row>
    <row r="124" spans="1:2" ht="12.75">
      <c r="A124" s="99"/>
      <c r="B124" s="164" t="s">
        <v>350</v>
      </c>
    </row>
    <row r="125" ht="13.5" thickBot="1"/>
    <row r="126" spans="1:5" ht="12.75">
      <c r="A126" s="70" t="s">
        <v>197</v>
      </c>
      <c r="B126" s="71"/>
      <c r="C126" s="71"/>
      <c r="D126" s="71"/>
      <c r="E126" s="331"/>
    </row>
    <row r="127" spans="1:5" ht="12.75">
      <c r="A127" s="16"/>
      <c r="B127" s="48"/>
      <c r="C127" s="55" t="s">
        <v>319</v>
      </c>
      <c r="D127" s="55" t="s">
        <v>320</v>
      </c>
      <c r="E127" s="130" t="s">
        <v>321</v>
      </c>
    </row>
    <row r="128" spans="1:5" ht="12.75">
      <c r="A128" s="24" t="s">
        <v>327</v>
      </c>
      <c r="B128" s="48"/>
      <c r="C128" s="55"/>
      <c r="D128" s="55"/>
      <c r="E128" s="130"/>
    </row>
    <row r="129" spans="1:5" ht="12.75">
      <c r="A129" s="16"/>
      <c r="B129" s="17" t="s">
        <v>188</v>
      </c>
      <c r="C129" s="173">
        <f>C30</f>
        <v>300000</v>
      </c>
      <c r="D129" s="173">
        <f>D30</f>
        <v>300000</v>
      </c>
      <c r="E129" s="174">
        <f>E30</f>
        <v>300000</v>
      </c>
    </row>
    <row r="130" spans="1:5" ht="12.75">
      <c r="A130" s="16"/>
      <c r="B130" s="17" t="s">
        <v>351</v>
      </c>
      <c r="C130" s="82">
        <v>0.0005</v>
      </c>
      <c r="D130" s="82">
        <v>0.0005</v>
      </c>
      <c r="E130" s="83">
        <v>0.0005</v>
      </c>
    </row>
    <row r="131" spans="1:5" ht="12.75">
      <c r="A131" s="16"/>
      <c r="B131" s="17" t="s">
        <v>352</v>
      </c>
      <c r="C131" s="173">
        <f>C129*C130</f>
        <v>150</v>
      </c>
      <c r="D131" s="173">
        <f>D129*D130</f>
        <v>150</v>
      </c>
      <c r="E131" s="174">
        <f>E129*E130</f>
        <v>150</v>
      </c>
    </row>
    <row r="132" spans="1:5" ht="12.75">
      <c r="A132" s="16"/>
      <c r="B132" s="17"/>
      <c r="C132" s="173"/>
      <c r="D132" s="173"/>
      <c r="E132" s="174"/>
    </row>
    <row r="133" spans="1:5" ht="12.75">
      <c r="A133" s="16"/>
      <c r="B133" s="17" t="s">
        <v>353</v>
      </c>
      <c r="C133" s="68">
        <v>0.5</v>
      </c>
      <c r="D133" s="68">
        <v>0.5</v>
      </c>
      <c r="E133" s="69">
        <v>0.5</v>
      </c>
    </row>
    <row r="134" spans="1:5" ht="12.75">
      <c r="A134" s="16"/>
      <c r="B134" s="17" t="s">
        <v>354</v>
      </c>
      <c r="C134" s="173">
        <f>C131*C133</f>
        <v>75</v>
      </c>
      <c r="D134" s="173">
        <f>D131*D133</f>
        <v>75</v>
      </c>
      <c r="E134" s="174">
        <f>E131*E133</f>
        <v>75</v>
      </c>
    </row>
    <row r="135" spans="1:5" ht="12.75">
      <c r="A135" s="16"/>
      <c r="B135" s="17"/>
      <c r="C135" s="173"/>
      <c r="D135" s="173"/>
      <c r="E135" s="174"/>
    </row>
    <row r="136" spans="1:5" ht="12.75">
      <c r="A136" s="16"/>
      <c r="B136" s="17" t="s">
        <v>355</v>
      </c>
      <c r="C136" s="68">
        <v>0.5</v>
      </c>
      <c r="D136" s="68">
        <v>0.5</v>
      </c>
      <c r="E136" s="69">
        <v>0.5</v>
      </c>
    </row>
    <row r="137" spans="1:5" ht="12.75">
      <c r="A137" s="16"/>
      <c r="B137" s="17" t="s">
        <v>356</v>
      </c>
      <c r="C137" s="173">
        <f>C131*C136</f>
        <v>75</v>
      </c>
      <c r="D137" s="173">
        <f>D131*D136</f>
        <v>75</v>
      </c>
      <c r="E137" s="174">
        <f>E131*E136</f>
        <v>75</v>
      </c>
    </row>
    <row r="138" spans="1:5" ht="12.75">
      <c r="A138" s="16"/>
      <c r="B138" s="17"/>
      <c r="C138" s="17"/>
      <c r="D138" s="11"/>
      <c r="E138" s="166"/>
    </row>
    <row r="139" spans="1:5" ht="12.75">
      <c r="A139" s="16"/>
      <c r="B139" s="17" t="s">
        <v>357</v>
      </c>
      <c r="C139" s="76">
        <v>0.01</v>
      </c>
      <c r="D139" s="76">
        <v>0.01</v>
      </c>
      <c r="E139" s="69">
        <v>0.01</v>
      </c>
    </row>
    <row r="140" spans="1:5" ht="12.75">
      <c r="A140" s="16"/>
      <c r="B140" s="17" t="s">
        <v>358</v>
      </c>
      <c r="C140" s="173">
        <f>C129*C139</f>
        <v>3000</v>
      </c>
      <c r="D140" s="173">
        <f>D129*D139</f>
        <v>3000</v>
      </c>
      <c r="E140" s="174">
        <f>E129*E139</f>
        <v>3000</v>
      </c>
    </row>
    <row r="141" spans="1:5" ht="12.75">
      <c r="A141" s="16"/>
      <c r="B141" s="17"/>
      <c r="C141" s="17"/>
      <c r="D141" s="11"/>
      <c r="E141" s="166"/>
    </row>
    <row r="142" spans="1:5" ht="12.75">
      <c r="A142" s="16"/>
      <c r="B142" s="17" t="s">
        <v>359</v>
      </c>
      <c r="C142" s="76">
        <v>0.5</v>
      </c>
      <c r="D142" s="76">
        <v>0.5</v>
      </c>
      <c r="E142" s="69">
        <v>0.5</v>
      </c>
    </row>
    <row r="143" spans="1:5" ht="12.75">
      <c r="A143" s="16"/>
      <c r="B143" s="17" t="s">
        <v>360</v>
      </c>
      <c r="C143" s="173">
        <f>C142*C140</f>
        <v>1500</v>
      </c>
      <c r="D143" s="173">
        <f>D142*D140</f>
        <v>1500</v>
      </c>
      <c r="E143" s="174">
        <f>E142*E140</f>
        <v>1500</v>
      </c>
    </row>
    <row r="144" spans="1:5" ht="12.75">
      <c r="A144" s="16"/>
      <c r="B144" s="17"/>
      <c r="C144" s="17"/>
      <c r="D144" s="11"/>
      <c r="E144" s="166"/>
    </row>
    <row r="145" spans="1:5" ht="12.75">
      <c r="A145" s="16"/>
      <c r="B145" s="17" t="s">
        <v>361</v>
      </c>
      <c r="C145" s="76">
        <v>0.5</v>
      </c>
      <c r="D145" s="76">
        <v>0.5</v>
      </c>
      <c r="E145" s="69">
        <v>0.5</v>
      </c>
    </row>
    <row r="146" spans="1:5" ht="12.75">
      <c r="A146" s="16"/>
      <c r="B146" s="17" t="s">
        <v>362</v>
      </c>
      <c r="C146" s="173">
        <f>C145*C140</f>
        <v>1500</v>
      </c>
      <c r="D146" s="173">
        <f>D145*D140</f>
        <v>1500</v>
      </c>
      <c r="E146" s="174">
        <f>E145*E140</f>
        <v>1500</v>
      </c>
    </row>
    <row r="147" spans="1:5" ht="12.75">
      <c r="A147" s="16"/>
      <c r="B147" s="17"/>
      <c r="C147" s="17"/>
      <c r="D147" s="11"/>
      <c r="E147" s="166"/>
    </row>
    <row r="148" spans="1:5" ht="12.75">
      <c r="A148" s="16"/>
      <c r="B148" s="17" t="s">
        <v>363</v>
      </c>
      <c r="C148" s="86">
        <v>5</v>
      </c>
      <c r="D148" s="86">
        <v>5</v>
      </c>
      <c r="E148" s="87">
        <v>5</v>
      </c>
    </row>
    <row r="149" spans="1:5" ht="12.75">
      <c r="A149" s="16"/>
      <c r="B149" s="17" t="s">
        <v>364</v>
      </c>
      <c r="C149" s="84">
        <v>20</v>
      </c>
      <c r="D149" s="84">
        <v>20</v>
      </c>
      <c r="E149" s="85">
        <v>20</v>
      </c>
    </row>
    <row r="150" spans="1:5" ht="12.75">
      <c r="A150" s="16"/>
      <c r="B150" s="17" t="s">
        <v>365</v>
      </c>
      <c r="C150" s="84">
        <v>100</v>
      </c>
      <c r="D150" s="84">
        <v>100</v>
      </c>
      <c r="E150" s="85">
        <v>100</v>
      </c>
    </row>
    <row r="151" spans="1:8" ht="12.75">
      <c r="A151" s="16"/>
      <c r="B151" s="17"/>
      <c r="C151" s="11"/>
      <c r="D151" s="11"/>
      <c r="E151" s="166"/>
      <c r="H151" s="164"/>
    </row>
    <row r="152" spans="1:8" ht="12.75">
      <c r="A152" s="16"/>
      <c r="B152" s="17" t="s">
        <v>366</v>
      </c>
      <c r="C152" s="86">
        <v>5</v>
      </c>
      <c r="D152" s="86">
        <v>5</v>
      </c>
      <c r="E152" s="87">
        <v>5</v>
      </c>
      <c r="F152" s="170"/>
      <c r="H152" s="164"/>
    </row>
    <row r="153" spans="1:6" ht="12.75">
      <c r="A153" s="16"/>
      <c r="B153" s="17" t="s">
        <v>367</v>
      </c>
      <c r="C153" s="84">
        <v>20</v>
      </c>
      <c r="D153" s="84">
        <v>20</v>
      </c>
      <c r="E153" s="85">
        <v>20</v>
      </c>
      <c r="F153" s="170"/>
    </row>
    <row r="154" spans="1:5" ht="13.5" thickBot="1">
      <c r="A154" s="16"/>
      <c r="B154" s="17" t="s">
        <v>368</v>
      </c>
      <c r="C154" s="84">
        <v>100</v>
      </c>
      <c r="D154" s="84">
        <v>100</v>
      </c>
      <c r="E154" s="85">
        <v>100</v>
      </c>
    </row>
    <row r="155" spans="1:43" ht="12.75">
      <c r="A155" s="16"/>
      <c r="B155" s="17"/>
      <c r="C155" s="23"/>
      <c r="D155" s="23"/>
      <c r="E155" s="112"/>
      <c r="H155" s="53" t="s">
        <v>319</v>
      </c>
      <c r="I155" s="54"/>
      <c r="J155" s="54"/>
      <c r="K155" s="54"/>
      <c r="L155" s="54"/>
      <c r="M155" s="54"/>
      <c r="N155" s="54"/>
      <c r="O155" s="54"/>
      <c r="P155" s="54"/>
      <c r="Q155" s="54"/>
      <c r="R155" s="54"/>
      <c r="S155" s="39"/>
      <c r="T155" s="53" t="s">
        <v>320</v>
      </c>
      <c r="U155" s="54"/>
      <c r="V155" s="54"/>
      <c r="W155" s="54"/>
      <c r="X155" s="54"/>
      <c r="Y155" s="54"/>
      <c r="Z155" s="54"/>
      <c r="AA155" s="54"/>
      <c r="AB155" s="54"/>
      <c r="AC155" s="54"/>
      <c r="AD155" s="54"/>
      <c r="AE155" s="39"/>
      <c r="AF155" s="53" t="s">
        <v>321</v>
      </c>
      <c r="AG155" s="54"/>
      <c r="AH155" s="54"/>
      <c r="AI155" s="54"/>
      <c r="AJ155" s="54"/>
      <c r="AK155" s="54"/>
      <c r="AL155" s="54"/>
      <c r="AM155" s="54"/>
      <c r="AN155" s="54"/>
      <c r="AO155" s="54"/>
      <c r="AP155" s="54"/>
      <c r="AQ155" s="39"/>
    </row>
    <row r="156" spans="1:43" ht="12.75">
      <c r="A156" s="16"/>
      <c r="B156" s="17"/>
      <c r="C156" s="23"/>
      <c r="D156" s="23"/>
      <c r="E156" s="112"/>
      <c r="H156" s="40" t="s">
        <v>323</v>
      </c>
      <c r="I156" s="41" t="s">
        <v>324</v>
      </c>
      <c r="J156" s="41" t="s">
        <v>325</v>
      </c>
      <c r="K156" s="41" t="s">
        <v>326</v>
      </c>
      <c r="L156" s="41" t="s">
        <v>130</v>
      </c>
      <c r="M156" s="41" t="s">
        <v>131</v>
      </c>
      <c r="N156" s="41" t="s">
        <v>132</v>
      </c>
      <c r="O156" s="41" t="s">
        <v>133</v>
      </c>
      <c r="P156" s="41" t="s">
        <v>134</v>
      </c>
      <c r="Q156" s="41" t="s">
        <v>135</v>
      </c>
      <c r="R156" s="41" t="s">
        <v>136</v>
      </c>
      <c r="S156" s="41" t="s">
        <v>137</v>
      </c>
      <c r="T156" s="41" t="s">
        <v>323</v>
      </c>
      <c r="U156" s="41" t="s">
        <v>324</v>
      </c>
      <c r="V156" s="41" t="s">
        <v>325</v>
      </c>
      <c r="W156" s="41" t="s">
        <v>326</v>
      </c>
      <c r="X156" s="41" t="s">
        <v>130</v>
      </c>
      <c r="Y156" s="41" t="s">
        <v>131</v>
      </c>
      <c r="Z156" s="41" t="s">
        <v>132</v>
      </c>
      <c r="AA156" s="41" t="s">
        <v>133</v>
      </c>
      <c r="AB156" s="41" t="s">
        <v>134</v>
      </c>
      <c r="AC156" s="41" t="s">
        <v>135</v>
      </c>
      <c r="AD156" s="41" t="s">
        <v>136</v>
      </c>
      <c r="AE156" s="41" t="s">
        <v>137</v>
      </c>
      <c r="AF156" s="43" t="s">
        <v>323</v>
      </c>
      <c r="AG156" s="43" t="s">
        <v>324</v>
      </c>
      <c r="AH156" s="43" t="s">
        <v>325</v>
      </c>
      <c r="AI156" s="43" t="s">
        <v>326</v>
      </c>
      <c r="AJ156" s="43" t="s">
        <v>130</v>
      </c>
      <c r="AK156" s="43" t="s">
        <v>131</v>
      </c>
      <c r="AL156" s="43" t="s">
        <v>132</v>
      </c>
      <c r="AM156" s="43" t="s">
        <v>133</v>
      </c>
      <c r="AN156" s="43" t="s">
        <v>134</v>
      </c>
      <c r="AO156" s="43" t="s">
        <v>135</v>
      </c>
      <c r="AP156" s="43" t="s">
        <v>136</v>
      </c>
      <c r="AQ156" s="106" t="s">
        <v>137</v>
      </c>
    </row>
    <row r="157" spans="1:43" ht="12.75">
      <c r="A157" s="24" t="s">
        <v>328</v>
      </c>
      <c r="B157" s="17"/>
      <c r="C157" s="23"/>
      <c r="D157" s="23"/>
      <c r="E157" s="112"/>
      <c r="F157" s="182" t="s">
        <v>369</v>
      </c>
      <c r="H157" s="30">
        <f>'Revenue - Website'!B58</f>
        <v>81286.54970760235</v>
      </c>
      <c r="I157" s="30">
        <f>'Revenue - Website'!C58</f>
        <v>162573.0994152047</v>
      </c>
      <c r="J157" s="30">
        <f>'Revenue - Website'!D58</f>
        <v>243859.64912280702</v>
      </c>
      <c r="K157" s="30">
        <f>'Revenue - Website'!E58</f>
        <v>325146.1988304094</v>
      </c>
      <c r="L157" s="30">
        <f>'Revenue - Website'!F58</f>
        <v>406432.74853801174</v>
      </c>
      <c r="M157" s="30">
        <f>'Revenue - Website'!G58</f>
        <v>487719.2982456141</v>
      </c>
      <c r="N157" s="30">
        <f>'Revenue - Website'!H58</f>
        <v>569005.8479532164</v>
      </c>
      <c r="O157" s="30">
        <f>'Revenue - Website'!I58</f>
        <v>650292.3976608188</v>
      </c>
      <c r="P157" s="30">
        <f>'Revenue - Website'!J58</f>
        <v>731578.9473684211</v>
      </c>
      <c r="Q157" s="30">
        <f>'Revenue - Website'!K58</f>
        <v>812865.4970760235</v>
      </c>
      <c r="R157" s="30">
        <f>'Revenue - Website'!L58</f>
        <v>894152.0467836258</v>
      </c>
      <c r="S157" s="30">
        <f>'Revenue - Website'!M58</f>
        <v>975438.5964912281</v>
      </c>
      <c r="T157" s="30">
        <f>'Revenue - Website'!N58</f>
        <v>1056725.1461988303</v>
      </c>
      <c r="U157" s="30">
        <f>'Revenue - Website'!O58</f>
        <v>1138011.6959064326</v>
      </c>
      <c r="V157" s="30">
        <f>'Revenue - Website'!P58</f>
        <v>1219298.2456140348</v>
      </c>
      <c r="W157" s="30">
        <f>'Revenue - Website'!Q58</f>
        <v>1300584.795321637</v>
      </c>
      <c r="X157" s="30">
        <f>'Revenue - Website'!R58</f>
        <v>1381871.3450292393</v>
      </c>
      <c r="Y157" s="30">
        <f>'Revenue - Website'!S58</f>
        <v>1463157.8947368416</v>
      </c>
      <c r="Z157" s="30">
        <f>'Revenue - Website'!T58</f>
        <v>1544444.4444444438</v>
      </c>
      <c r="AA157" s="30">
        <f>'Revenue - Website'!U58</f>
        <v>1625730.994152046</v>
      </c>
      <c r="AB157" s="30">
        <f>'Revenue - Website'!V58</f>
        <v>1707017.5438596483</v>
      </c>
      <c r="AC157" s="30">
        <f>'Revenue - Website'!W58</f>
        <v>1788304.0935672505</v>
      </c>
      <c r="AD157" s="30">
        <f>'Revenue - Website'!X58</f>
        <v>1869590.6432748528</v>
      </c>
      <c r="AE157" s="30">
        <f>'Revenue - Website'!Y58</f>
        <v>1950877.1929824562</v>
      </c>
      <c r="AF157" s="30">
        <f>'Revenue - Website'!Z58</f>
        <v>2032163.7426900584</v>
      </c>
      <c r="AG157" s="30">
        <f>'Revenue - Website'!AA58</f>
        <v>2113450.2923976607</v>
      </c>
      <c r="AH157" s="30">
        <f>'Revenue - Website'!AB58</f>
        <v>2194736.842105263</v>
      </c>
      <c r="AI157" s="30">
        <f>'Revenue - Website'!AC58</f>
        <v>2276023.391812865</v>
      </c>
      <c r="AJ157" s="30">
        <f>'Revenue - Website'!AD58</f>
        <v>2357309.9415204674</v>
      </c>
      <c r="AK157" s="30">
        <f>'Revenue - Website'!AE58</f>
        <v>2438596.4912280696</v>
      </c>
      <c r="AL157" s="30">
        <f>'Revenue - Website'!AF58</f>
        <v>2519883.040935672</v>
      </c>
      <c r="AM157" s="30">
        <f>'Revenue - Website'!AG58</f>
        <v>2601169.590643274</v>
      </c>
      <c r="AN157" s="30">
        <f>'Revenue - Website'!AH58</f>
        <v>2682456.1403508764</v>
      </c>
      <c r="AO157" s="30">
        <f>'Revenue - Website'!AI58</f>
        <v>2763742.6900584786</v>
      </c>
      <c r="AP157" s="30">
        <f>'Revenue - Website'!AJ58</f>
        <v>2845029.239766081</v>
      </c>
      <c r="AQ157" s="30">
        <f>'Revenue - Website'!AK58</f>
        <v>2926315.789473684</v>
      </c>
    </row>
    <row r="158" spans="1:43" ht="12.75">
      <c r="A158" s="16"/>
      <c r="B158" s="17" t="s">
        <v>189</v>
      </c>
      <c r="C158" s="76">
        <v>0.02</v>
      </c>
      <c r="D158" s="76">
        <v>0.02</v>
      </c>
      <c r="E158" s="69">
        <v>0.02</v>
      </c>
      <c r="F158" s="182" t="s">
        <v>370</v>
      </c>
      <c r="H158" s="30">
        <f>H157*$C$158</f>
        <v>1625.730994152047</v>
      </c>
      <c r="I158" s="30">
        <f aca="true" t="shared" si="25" ref="I158:S158">I157*$C$158</f>
        <v>3251.461988304094</v>
      </c>
      <c r="J158" s="30">
        <f t="shared" si="25"/>
        <v>4877.19298245614</v>
      </c>
      <c r="K158" s="30">
        <f t="shared" si="25"/>
        <v>6502.923976608188</v>
      </c>
      <c r="L158" s="30">
        <f t="shared" si="25"/>
        <v>8128.654970760235</v>
      </c>
      <c r="M158" s="30">
        <f t="shared" si="25"/>
        <v>9754.385964912282</v>
      </c>
      <c r="N158" s="30">
        <f t="shared" si="25"/>
        <v>11380.116959064328</v>
      </c>
      <c r="O158" s="30">
        <f t="shared" si="25"/>
        <v>13005.847953216376</v>
      </c>
      <c r="P158" s="30">
        <f t="shared" si="25"/>
        <v>14631.578947368424</v>
      </c>
      <c r="Q158" s="30">
        <f t="shared" si="25"/>
        <v>16257.30994152047</v>
      </c>
      <c r="R158" s="30">
        <f t="shared" si="25"/>
        <v>17883.040935672518</v>
      </c>
      <c r="S158" s="30">
        <f t="shared" si="25"/>
        <v>19508.77192982456</v>
      </c>
      <c r="T158" s="30">
        <f>T157*$D$158</f>
        <v>21134.502923976608</v>
      </c>
      <c r="U158" s="30">
        <f aca="true" t="shared" si="26" ref="U158:AE158">U157*$D$158</f>
        <v>22760.23391812865</v>
      </c>
      <c r="V158" s="30">
        <f t="shared" si="26"/>
        <v>24385.9649122807</v>
      </c>
      <c r="W158" s="30">
        <f t="shared" si="26"/>
        <v>26011.695906432742</v>
      </c>
      <c r="X158" s="30">
        <f t="shared" si="26"/>
        <v>27637.426900584785</v>
      </c>
      <c r="Y158" s="30">
        <f t="shared" si="26"/>
        <v>29263.157894736833</v>
      </c>
      <c r="Z158" s="30">
        <f t="shared" si="26"/>
        <v>30888.888888888876</v>
      </c>
      <c r="AA158" s="30">
        <f t="shared" si="26"/>
        <v>32514.619883040923</v>
      </c>
      <c r="AB158" s="30">
        <f t="shared" si="26"/>
        <v>34140.35087719296</v>
      </c>
      <c r="AC158" s="30">
        <f t="shared" si="26"/>
        <v>35766.08187134501</v>
      </c>
      <c r="AD158" s="30">
        <f t="shared" si="26"/>
        <v>37391.81286549706</v>
      </c>
      <c r="AE158" s="30">
        <f t="shared" si="26"/>
        <v>39017.54385964912</v>
      </c>
      <c r="AF158" s="30">
        <f>AF157*$E$158</f>
        <v>40643.27485380117</v>
      </c>
      <c r="AG158" s="30">
        <f aca="true" t="shared" si="27" ref="AG158:AQ158">AG157*$E$158</f>
        <v>42269.005847953216</v>
      </c>
      <c r="AH158" s="30">
        <f t="shared" si="27"/>
        <v>43894.73684210526</v>
      </c>
      <c r="AI158" s="30">
        <f t="shared" si="27"/>
        <v>45520.4678362573</v>
      </c>
      <c r="AJ158" s="30">
        <f t="shared" si="27"/>
        <v>47146.19883040935</v>
      </c>
      <c r="AK158" s="30">
        <f t="shared" si="27"/>
        <v>48771.9298245614</v>
      </c>
      <c r="AL158" s="30">
        <f t="shared" si="27"/>
        <v>50397.66081871344</v>
      </c>
      <c r="AM158" s="30">
        <f t="shared" si="27"/>
        <v>52023.391812865484</v>
      </c>
      <c r="AN158" s="30">
        <f t="shared" si="27"/>
        <v>53649.12280701753</v>
      </c>
      <c r="AO158" s="30">
        <f t="shared" si="27"/>
        <v>55274.85380116957</v>
      </c>
      <c r="AP158" s="30">
        <f t="shared" si="27"/>
        <v>56900.58479532162</v>
      </c>
      <c r="AQ158" s="30">
        <f t="shared" si="27"/>
        <v>58526.31578947368</v>
      </c>
    </row>
    <row r="159" spans="1:43" ht="12.75">
      <c r="A159" s="16"/>
      <c r="B159" s="17" t="s">
        <v>190</v>
      </c>
      <c r="C159" s="86">
        <v>4</v>
      </c>
      <c r="D159" s="86">
        <v>6</v>
      </c>
      <c r="E159" s="87">
        <v>8</v>
      </c>
      <c r="F159" s="182" t="s">
        <v>489</v>
      </c>
      <c r="H159" s="30">
        <f>H158*$C$159</f>
        <v>6502.923976608188</v>
      </c>
      <c r="I159" s="30">
        <f aca="true" t="shared" si="28" ref="I159:S159">I158*$C$159</f>
        <v>13005.847953216376</v>
      </c>
      <c r="J159" s="30">
        <f t="shared" si="28"/>
        <v>19508.77192982456</v>
      </c>
      <c r="K159" s="30">
        <f t="shared" si="28"/>
        <v>26011.695906432753</v>
      </c>
      <c r="L159" s="30">
        <f t="shared" si="28"/>
        <v>32514.61988304094</v>
      </c>
      <c r="M159" s="30">
        <f t="shared" si="28"/>
        <v>39017.54385964913</v>
      </c>
      <c r="N159" s="30">
        <f t="shared" si="28"/>
        <v>45520.46783625731</v>
      </c>
      <c r="O159" s="30">
        <f t="shared" si="28"/>
        <v>52023.391812865506</v>
      </c>
      <c r="P159" s="30">
        <f t="shared" si="28"/>
        <v>58526.315789473694</v>
      </c>
      <c r="Q159" s="30">
        <f t="shared" si="28"/>
        <v>65029.23976608188</v>
      </c>
      <c r="R159" s="30">
        <f t="shared" si="28"/>
        <v>71532.16374269007</v>
      </c>
      <c r="S159" s="30">
        <f t="shared" si="28"/>
        <v>78035.08771929824</v>
      </c>
      <c r="T159" s="30">
        <f>T158*$D$159</f>
        <v>126807.01754385965</v>
      </c>
      <c r="U159" s="30">
        <f aca="true" t="shared" si="29" ref="U159:AE159">U158*$D$159</f>
        <v>136561.4035087719</v>
      </c>
      <c r="V159" s="30">
        <f t="shared" si="29"/>
        <v>146315.78947368418</v>
      </c>
      <c r="W159" s="30">
        <f t="shared" si="29"/>
        <v>156070.17543859646</v>
      </c>
      <c r="X159" s="30">
        <f t="shared" si="29"/>
        <v>165824.5614035087</v>
      </c>
      <c r="Y159" s="30">
        <f t="shared" si="29"/>
        <v>175578.947368421</v>
      </c>
      <c r="Z159" s="30">
        <f t="shared" si="29"/>
        <v>185333.33333333326</v>
      </c>
      <c r="AA159" s="30">
        <f t="shared" si="29"/>
        <v>195087.71929824553</v>
      </c>
      <c r="AB159" s="30">
        <f t="shared" si="29"/>
        <v>204842.10526315778</v>
      </c>
      <c r="AC159" s="30">
        <f t="shared" si="29"/>
        <v>214596.49122807008</v>
      </c>
      <c r="AD159" s="30">
        <f t="shared" si="29"/>
        <v>224350.87719298236</v>
      </c>
      <c r="AE159" s="30">
        <f t="shared" si="29"/>
        <v>234105.26315789472</v>
      </c>
      <c r="AF159" s="30">
        <f>AF158*$E$159</f>
        <v>325146.1988304094</v>
      </c>
      <c r="AG159" s="30">
        <f aca="true" t="shared" si="30" ref="AG159:AQ159">AG158*$E$159</f>
        <v>338152.04678362573</v>
      </c>
      <c r="AH159" s="30">
        <f t="shared" si="30"/>
        <v>351157.8947368421</v>
      </c>
      <c r="AI159" s="30">
        <f t="shared" si="30"/>
        <v>364163.7426900584</v>
      </c>
      <c r="AJ159" s="30">
        <f t="shared" si="30"/>
        <v>377169.5906432748</v>
      </c>
      <c r="AK159" s="30">
        <f t="shared" si="30"/>
        <v>390175.4385964912</v>
      </c>
      <c r="AL159" s="30">
        <f t="shared" si="30"/>
        <v>403181.2865497075</v>
      </c>
      <c r="AM159" s="30">
        <f t="shared" si="30"/>
        <v>416187.1345029239</v>
      </c>
      <c r="AN159" s="30">
        <f t="shared" si="30"/>
        <v>429192.9824561402</v>
      </c>
      <c r="AO159" s="30">
        <f t="shared" si="30"/>
        <v>442198.83040935657</v>
      </c>
      <c r="AP159" s="30">
        <f t="shared" si="30"/>
        <v>455204.678362573</v>
      </c>
      <c r="AQ159" s="30">
        <f t="shared" si="30"/>
        <v>468210.52631578944</v>
      </c>
    </row>
    <row r="160" spans="1:6" ht="12.75">
      <c r="A160" s="16"/>
      <c r="B160" s="17"/>
      <c r="C160" s="23"/>
      <c r="D160" s="23"/>
      <c r="E160" s="112"/>
      <c r="F160" s="182"/>
    </row>
    <row r="161" spans="1:43" ht="12.75">
      <c r="A161" s="16"/>
      <c r="B161" s="17" t="s">
        <v>191</v>
      </c>
      <c r="C161" s="84">
        <v>20</v>
      </c>
      <c r="D161" s="84">
        <v>20</v>
      </c>
      <c r="E161" s="85">
        <v>20</v>
      </c>
      <c r="F161" s="182" t="s">
        <v>490</v>
      </c>
      <c r="H161" s="6">
        <f>(H159/1000)*$C$161</f>
        <v>130.05847953216377</v>
      </c>
      <c r="I161" s="6">
        <f aca="true" t="shared" si="31" ref="I161:S161">(I159/1000)*$C$161</f>
        <v>260.11695906432755</v>
      </c>
      <c r="J161" s="6">
        <f t="shared" si="31"/>
        <v>390.17543859649123</v>
      </c>
      <c r="K161" s="6">
        <f t="shared" si="31"/>
        <v>520.2339181286551</v>
      </c>
      <c r="L161" s="6">
        <f t="shared" si="31"/>
        <v>650.2923976608189</v>
      </c>
      <c r="M161" s="6">
        <f t="shared" si="31"/>
        <v>780.3508771929826</v>
      </c>
      <c r="N161" s="6">
        <f t="shared" si="31"/>
        <v>910.4093567251462</v>
      </c>
      <c r="O161" s="6">
        <f t="shared" si="31"/>
        <v>1040.4678362573102</v>
      </c>
      <c r="P161" s="6">
        <f t="shared" si="31"/>
        <v>1170.5263157894738</v>
      </c>
      <c r="Q161" s="6">
        <f t="shared" si="31"/>
        <v>1300.5847953216378</v>
      </c>
      <c r="R161" s="6">
        <f t="shared" si="31"/>
        <v>1430.6432748538014</v>
      </c>
      <c r="S161" s="6">
        <f t="shared" si="31"/>
        <v>1560.701754385965</v>
      </c>
      <c r="T161" s="6">
        <f>(T159/1000)*$D$161</f>
        <v>2536.1403508771928</v>
      </c>
      <c r="U161" s="6">
        <f aca="true" t="shared" si="32" ref="U161:AE161">(U159/1000)*$D$161</f>
        <v>2731.2280701754385</v>
      </c>
      <c r="V161" s="6">
        <f t="shared" si="32"/>
        <v>2926.3157894736837</v>
      </c>
      <c r="W161" s="6">
        <f t="shared" si="32"/>
        <v>3121.4035087719294</v>
      </c>
      <c r="X161" s="6">
        <f t="shared" si="32"/>
        <v>3316.491228070174</v>
      </c>
      <c r="Y161" s="6">
        <f t="shared" si="32"/>
        <v>3511.5789473684204</v>
      </c>
      <c r="Z161" s="6">
        <f t="shared" si="32"/>
        <v>3706.666666666665</v>
      </c>
      <c r="AA161" s="6">
        <f t="shared" si="32"/>
        <v>3901.7543859649104</v>
      </c>
      <c r="AB161" s="6">
        <f t="shared" si="32"/>
        <v>4096.842105263156</v>
      </c>
      <c r="AC161" s="6">
        <f t="shared" si="32"/>
        <v>4291.929824561402</v>
      </c>
      <c r="AD161" s="6">
        <f t="shared" si="32"/>
        <v>4487.017543859647</v>
      </c>
      <c r="AE161" s="6">
        <f t="shared" si="32"/>
        <v>4682.105263157894</v>
      </c>
      <c r="AF161" s="6">
        <f>(AF159/1000)*$E$161</f>
        <v>6502.923976608188</v>
      </c>
      <c r="AG161" s="6">
        <f aca="true" t="shared" si="33" ref="AG161:AQ161">(AG159/1000)*$E$161</f>
        <v>6763.040935672515</v>
      </c>
      <c r="AH161" s="6">
        <f t="shared" si="33"/>
        <v>7023.157894736842</v>
      </c>
      <c r="AI161" s="6">
        <f t="shared" si="33"/>
        <v>7283.274853801168</v>
      </c>
      <c r="AJ161" s="6">
        <f t="shared" si="33"/>
        <v>7543.391812865495</v>
      </c>
      <c r="AK161" s="6">
        <f t="shared" si="33"/>
        <v>7803.5087719298235</v>
      </c>
      <c r="AL161" s="6">
        <f t="shared" si="33"/>
        <v>8063.62573099415</v>
      </c>
      <c r="AM161" s="6">
        <f t="shared" si="33"/>
        <v>8323.742690058478</v>
      </c>
      <c r="AN161" s="6">
        <f t="shared" si="33"/>
        <v>8583.859649122804</v>
      </c>
      <c r="AO161" s="6">
        <f t="shared" si="33"/>
        <v>8843.976608187131</v>
      </c>
      <c r="AP161" s="6">
        <f t="shared" si="33"/>
        <v>9104.093567251459</v>
      </c>
      <c r="AQ161" s="6">
        <f t="shared" si="33"/>
        <v>9364.210526315788</v>
      </c>
    </row>
    <row r="162" spans="1:5" ht="12.75">
      <c r="A162" s="16"/>
      <c r="B162" s="17"/>
      <c r="C162" s="12"/>
      <c r="D162" s="12"/>
      <c r="E162" s="168"/>
    </row>
    <row r="163" spans="1:5" ht="13.5" thickBot="1">
      <c r="A163" s="19"/>
      <c r="B163" s="20"/>
      <c r="C163" s="20"/>
      <c r="D163" s="20"/>
      <c r="E163" s="21"/>
    </row>
    <row r="165" spans="3:5" ht="12.75">
      <c r="C165" s="169" t="s">
        <v>319</v>
      </c>
      <c r="D165" s="169" t="s">
        <v>320</v>
      </c>
      <c r="E165" s="169" t="s">
        <v>321</v>
      </c>
    </row>
    <row r="166" ht="12.75">
      <c r="H166" s="178"/>
    </row>
    <row r="167" spans="1:43" ht="12.75">
      <c r="A167" s="25" t="s">
        <v>288</v>
      </c>
      <c r="C167" s="23">
        <f>C168+C169</f>
        <v>325144.56140350876</v>
      </c>
      <c r="D167" s="23">
        <f>D168+D169</f>
        <v>358309.4736842105</v>
      </c>
      <c r="E167" s="23">
        <f>E168+E169</f>
        <v>410202.8070175438</v>
      </c>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row>
    <row r="168" spans="2:43" ht="12.75">
      <c r="B168" s="25" t="s">
        <v>491</v>
      </c>
      <c r="C168" s="23">
        <f>(C129*C130*C133*C148*C149)+(C129*C130*C136*C150)+(C129*C139*C142*C152*C153)+(C129*C139*C145*C154)</f>
        <v>315000</v>
      </c>
      <c r="D168" s="23">
        <f>(D129*D130*D133*D148*D149)+(D129*D130*D136*D150)+(D129*D139*D142*D152*D153)+(D129*D139*D145*D154)</f>
        <v>315000</v>
      </c>
      <c r="E168" s="23">
        <f>(E129*E130*E133*E148*E149)+(E129*E130*E136*E150)+(E129*E139*E142*E152*E153)+(E129*E139*E145*E154)</f>
        <v>315000</v>
      </c>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row>
    <row r="169" spans="2:43" ht="12.75">
      <c r="B169" s="25" t="s">
        <v>194</v>
      </c>
      <c r="C169" s="23">
        <f>SUM(H161:S161)</f>
        <v>10144.561403508773</v>
      </c>
      <c r="D169" s="23">
        <f>SUM(T161:AE161)</f>
        <v>43309.47368421051</v>
      </c>
      <c r="E169" s="23">
        <f>SUM(AF161:AQ161)</f>
        <v>95202.80701754385</v>
      </c>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row>
    <row r="170" ht="12.75">
      <c r="B170" s="164"/>
    </row>
    <row r="171" ht="12.75">
      <c r="H171" s="164"/>
    </row>
    <row r="172" ht="12.75">
      <c r="H172" s="164"/>
    </row>
    <row r="173" spans="1:2" ht="12.75">
      <c r="A173" s="197" t="s">
        <v>492</v>
      </c>
      <c r="B173" s="167"/>
    </row>
    <row r="174" spans="1:2" ht="12.75">
      <c r="A174" s="99"/>
      <c r="B174" s="164" t="s">
        <v>193</v>
      </c>
    </row>
    <row r="175" spans="1:2" ht="12.75">
      <c r="A175" s="99"/>
      <c r="B175" s="25" t="s">
        <v>313</v>
      </c>
    </row>
    <row r="176" spans="1:2" ht="12.75">
      <c r="A176" s="99"/>
      <c r="B176" s="164" t="s">
        <v>493</v>
      </c>
    </row>
    <row r="177" spans="1:2" ht="12.75">
      <c r="A177" s="99"/>
      <c r="B177" s="164" t="s">
        <v>494</v>
      </c>
    </row>
    <row r="178" spans="1:2" ht="12.75">
      <c r="A178" s="99"/>
      <c r="B178" s="164" t="s">
        <v>495</v>
      </c>
    </row>
    <row r="179" spans="1:2" ht="12.75">
      <c r="A179" s="99"/>
      <c r="B179" s="178" t="s">
        <v>496</v>
      </c>
    </row>
    <row r="180" ht="13.5" thickBot="1"/>
    <row r="181" spans="1:5" ht="12.75">
      <c r="A181" s="70" t="s">
        <v>197</v>
      </c>
      <c r="B181" s="71"/>
      <c r="C181" s="71"/>
      <c r="D181" s="71"/>
      <c r="E181" s="331"/>
    </row>
    <row r="182" spans="1:5" ht="12.75">
      <c r="A182" s="16"/>
      <c r="B182" s="48"/>
      <c r="C182" s="55" t="s">
        <v>319</v>
      </c>
      <c r="D182" s="55" t="s">
        <v>320</v>
      </c>
      <c r="E182" s="130" t="s">
        <v>321</v>
      </c>
    </row>
    <row r="183" spans="1:43" ht="12.75">
      <c r="A183" s="16"/>
      <c r="B183" s="48" t="s">
        <v>188</v>
      </c>
      <c r="C183" s="173"/>
      <c r="D183" s="173">
        <f>D30</f>
        <v>300000</v>
      </c>
      <c r="E183" s="174">
        <f>E30</f>
        <v>300000</v>
      </c>
      <c r="F183" s="182"/>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row>
    <row r="184" spans="1:5" ht="12.75">
      <c r="A184" s="16"/>
      <c r="B184" s="26" t="s">
        <v>497</v>
      </c>
      <c r="C184" s="173"/>
      <c r="D184" s="82">
        <v>0.0005</v>
      </c>
      <c r="E184" s="335">
        <v>0.001</v>
      </c>
    </row>
    <row r="185" spans="1:5" ht="12.75">
      <c r="A185" s="16"/>
      <c r="B185" s="26" t="s">
        <v>498</v>
      </c>
      <c r="C185" s="173"/>
      <c r="D185" s="173">
        <f>D183*D184</f>
        <v>150</v>
      </c>
      <c r="E185" s="174">
        <f>E183*E184</f>
        <v>300</v>
      </c>
    </row>
    <row r="186" spans="1:5" ht="12.75">
      <c r="A186" s="16"/>
      <c r="B186" s="26"/>
      <c r="C186" s="173"/>
      <c r="D186" s="173"/>
      <c r="E186" s="174"/>
    </row>
    <row r="187" spans="1:5" ht="12.75">
      <c r="A187" s="16"/>
      <c r="B187" s="26" t="s">
        <v>499</v>
      </c>
      <c r="C187" s="173"/>
      <c r="D187" s="76">
        <v>0.3</v>
      </c>
      <c r="E187" s="69">
        <v>0.3</v>
      </c>
    </row>
    <row r="188" spans="1:5" ht="12.75">
      <c r="A188" s="16"/>
      <c r="B188" s="45" t="s">
        <v>500</v>
      </c>
      <c r="C188" s="173"/>
      <c r="D188" s="173">
        <f>D185*D187</f>
        <v>45</v>
      </c>
      <c r="E188" s="174">
        <f>E185*E187</f>
        <v>90</v>
      </c>
    </row>
    <row r="189" spans="1:6" ht="12.75">
      <c r="A189" s="16"/>
      <c r="B189" s="26"/>
      <c r="C189" s="173"/>
      <c r="D189" s="17"/>
      <c r="E189" s="18"/>
      <c r="F189" s="198"/>
    </row>
    <row r="190" spans="1:43" ht="12.75">
      <c r="A190" s="16"/>
      <c r="B190" s="48" t="s">
        <v>501</v>
      </c>
      <c r="C190" s="173"/>
      <c r="D190" s="84">
        <v>40</v>
      </c>
      <c r="E190" s="85">
        <v>40</v>
      </c>
      <c r="F190" s="189"/>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row>
    <row r="191" spans="1:6" ht="12.75">
      <c r="A191" s="16"/>
      <c r="B191" s="17" t="s">
        <v>502</v>
      </c>
      <c r="C191" s="173"/>
      <c r="D191" s="84">
        <v>60</v>
      </c>
      <c r="E191" s="85">
        <v>60</v>
      </c>
      <c r="F191" s="48"/>
    </row>
    <row r="192" spans="1:6" ht="12.75">
      <c r="A192" s="16"/>
      <c r="B192" s="17"/>
      <c r="C192" s="173"/>
      <c r="D192" s="11"/>
      <c r="E192" s="166"/>
      <c r="F192" s="48"/>
    </row>
    <row r="193" spans="1:6" ht="12.75">
      <c r="A193" s="16"/>
      <c r="B193" s="17" t="s">
        <v>503</v>
      </c>
      <c r="C193" s="173"/>
      <c r="D193" s="84">
        <v>40</v>
      </c>
      <c r="E193" s="85">
        <v>40</v>
      </c>
      <c r="F193" s="48"/>
    </row>
    <row r="194" spans="1:6" ht="12.75">
      <c r="A194" s="16"/>
      <c r="B194" s="17"/>
      <c r="C194" s="173"/>
      <c r="D194" s="11"/>
      <c r="E194" s="166"/>
      <c r="F194" s="48"/>
    </row>
    <row r="195" spans="1:6" ht="12.75">
      <c r="A195" s="16"/>
      <c r="B195" s="17" t="s">
        <v>504</v>
      </c>
      <c r="C195" s="173"/>
      <c r="D195" s="11"/>
      <c r="E195" s="166"/>
      <c r="F195" s="48"/>
    </row>
    <row r="196" spans="1:6" ht="12.75">
      <c r="A196" s="16"/>
      <c r="B196" s="199" t="s">
        <v>505</v>
      </c>
      <c r="C196" s="173"/>
      <c r="D196" s="74">
        <v>0.8</v>
      </c>
      <c r="E196" s="75">
        <v>0.8</v>
      </c>
      <c r="F196" s="48"/>
    </row>
    <row r="197" spans="1:6" ht="12.75">
      <c r="A197" s="16"/>
      <c r="B197" s="199" t="s">
        <v>506</v>
      </c>
      <c r="C197" s="173"/>
      <c r="D197" s="86">
        <v>10000</v>
      </c>
      <c r="E197" s="87">
        <v>10000</v>
      </c>
      <c r="F197" s="48"/>
    </row>
    <row r="198" spans="1:5" ht="12.75">
      <c r="A198" s="16"/>
      <c r="B198" s="200" t="s">
        <v>507</v>
      </c>
      <c r="C198" s="173"/>
      <c r="D198" s="76">
        <v>0.07</v>
      </c>
      <c r="E198" s="69">
        <v>0.07</v>
      </c>
    </row>
    <row r="199" spans="1:5" ht="12.75">
      <c r="A199" s="16"/>
      <c r="B199" s="200"/>
      <c r="C199" s="173"/>
      <c r="D199" s="11"/>
      <c r="E199" s="166"/>
    </row>
    <row r="200" spans="1:5" ht="13.5" thickBot="1">
      <c r="A200" s="19"/>
      <c r="B200" s="20"/>
      <c r="C200" s="20"/>
      <c r="D200" s="20"/>
      <c r="E200" s="21"/>
    </row>
    <row r="202" spans="3:5" ht="12.75">
      <c r="C202" s="169" t="s">
        <v>319</v>
      </c>
      <c r="D202" s="169" t="s">
        <v>320</v>
      </c>
      <c r="E202" s="169" t="s">
        <v>321</v>
      </c>
    </row>
    <row r="204" spans="1:43" ht="12.75">
      <c r="A204" s="25" t="s">
        <v>175</v>
      </c>
      <c r="C204" s="23"/>
      <c r="D204" s="23">
        <f>SUM(D205:D208)</f>
        <v>194100</v>
      </c>
      <c r="E204" s="23">
        <f>SUM(E205:E208)</f>
        <v>762600</v>
      </c>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row>
    <row r="205" spans="2:43" ht="12.75">
      <c r="B205" s="25" t="s">
        <v>508</v>
      </c>
      <c r="C205" s="23"/>
      <c r="D205" s="23">
        <f>(D185-D188)*D190</f>
        <v>4200</v>
      </c>
      <c r="E205" s="23">
        <f>(E185-E188)*E190</f>
        <v>8400</v>
      </c>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row>
    <row r="206" spans="2:43" ht="12.75">
      <c r="B206" s="25" t="s">
        <v>509</v>
      </c>
      <c r="C206" s="23"/>
      <c r="D206" s="23">
        <f>(D188*D191)</f>
        <v>2700</v>
      </c>
      <c r="E206" s="23">
        <f>(E188*E191)</f>
        <v>5400</v>
      </c>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row>
    <row r="207" spans="2:43" ht="12.75">
      <c r="B207" s="25" t="s">
        <v>503</v>
      </c>
      <c r="C207" s="23"/>
      <c r="D207" s="23">
        <f>(6*D185*D193)</f>
        <v>36000</v>
      </c>
      <c r="E207" s="23">
        <f>(12*D185*D193)+(6*E185*E193)</f>
        <v>144000</v>
      </c>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row>
    <row r="208" spans="2:43" ht="12.75">
      <c r="B208" s="25" t="s">
        <v>504</v>
      </c>
      <c r="C208" s="23"/>
      <c r="D208" s="23">
        <f>(D188*((D196*D197)*6))*D198</f>
        <v>151200</v>
      </c>
      <c r="E208" s="23">
        <f>((E188*((E196*E197)*6))+(D188*((D196*D197)*12)))*E198</f>
        <v>604800</v>
      </c>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row>
    <row r="212" ht="12.75">
      <c r="A212" s="99" t="s">
        <v>510</v>
      </c>
    </row>
    <row r="213" spans="1:2" ht="12.75">
      <c r="A213" s="99"/>
      <c r="B213" s="164" t="s">
        <v>511</v>
      </c>
    </row>
    <row r="214" spans="1:2" ht="12.75">
      <c r="A214" s="99"/>
      <c r="B214" s="164" t="s">
        <v>512</v>
      </c>
    </row>
    <row r="215" spans="1:2" ht="12.75">
      <c r="A215" s="99"/>
      <c r="B215" s="164" t="s">
        <v>513</v>
      </c>
    </row>
    <row r="216" ht="13.5" thickBot="1"/>
    <row r="217" spans="1:5" ht="12.75">
      <c r="A217" s="70" t="s">
        <v>197</v>
      </c>
      <c r="B217" s="71"/>
      <c r="C217" s="71"/>
      <c r="D217" s="71"/>
      <c r="E217" s="331"/>
    </row>
    <row r="218" spans="1:5" ht="12.75">
      <c r="A218" s="16"/>
      <c r="B218" s="48"/>
      <c r="C218" s="55" t="s">
        <v>319</v>
      </c>
      <c r="D218" s="55" t="s">
        <v>320</v>
      </c>
      <c r="E218" s="130" t="s">
        <v>321</v>
      </c>
    </row>
    <row r="219" spans="1:5" ht="12.75">
      <c r="A219" s="24" t="s">
        <v>514</v>
      </c>
      <c r="B219" s="48"/>
      <c r="C219" s="55"/>
      <c r="D219" s="55"/>
      <c r="E219" s="130"/>
    </row>
    <row r="220" spans="1:5" ht="12.75">
      <c r="A220" s="16"/>
      <c r="B220" s="48" t="s">
        <v>188</v>
      </c>
      <c r="C220" s="201"/>
      <c r="D220" s="173">
        <f>D129</f>
        <v>300000</v>
      </c>
      <c r="E220" s="174">
        <f>E30</f>
        <v>300000</v>
      </c>
    </row>
    <row r="221" spans="1:5" ht="12.75">
      <c r="A221" s="16"/>
      <c r="B221" s="48" t="s">
        <v>404</v>
      </c>
      <c r="C221" s="201"/>
      <c r="D221" s="334">
        <v>0.002</v>
      </c>
      <c r="E221" s="335">
        <v>0.002</v>
      </c>
    </row>
    <row r="222" spans="1:5" ht="12.75">
      <c r="A222" s="16"/>
      <c r="B222" s="48" t="s">
        <v>405</v>
      </c>
      <c r="C222" s="201"/>
      <c r="D222" s="173">
        <f>D220*D221</f>
        <v>600</v>
      </c>
      <c r="E222" s="174">
        <f>E220*E221</f>
        <v>600</v>
      </c>
    </row>
    <row r="223" spans="1:5" ht="12.75">
      <c r="A223" s="16"/>
      <c r="B223" s="48"/>
      <c r="C223" s="201"/>
      <c r="D223" s="55"/>
      <c r="E223" s="130"/>
    </row>
    <row r="224" spans="1:5" ht="12.75">
      <c r="A224" s="16"/>
      <c r="B224" s="48" t="s">
        <v>406</v>
      </c>
      <c r="C224" s="201"/>
      <c r="D224" s="334">
        <v>0.001</v>
      </c>
      <c r="E224" s="335">
        <v>0.001</v>
      </c>
    </row>
    <row r="225" spans="1:5" ht="12.75">
      <c r="A225" s="16"/>
      <c r="B225" s="48" t="s">
        <v>407</v>
      </c>
      <c r="C225" s="201"/>
      <c r="D225" s="201">
        <f>D220*D224</f>
        <v>300</v>
      </c>
      <c r="E225" s="174">
        <f>E220*E224</f>
        <v>300</v>
      </c>
    </row>
    <row r="226" spans="1:5" ht="12.75">
      <c r="A226" s="16"/>
      <c r="B226" s="48"/>
      <c r="C226" s="201"/>
      <c r="D226" s="55"/>
      <c r="E226" s="130"/>
    </row>
    <row r="227" spans="1:5" ht="12.75">
      <c r="A227" s="16"/>
      <c r="B227" s="48" t="s">
        <v>408</v>
      </c>
      <c r="C227" s="201"/>
      <c r="D227" s="86">
        <v>3</v>
      </c>
      <c r="E227" s="87">
        <v>3</v>
      </c>
    </row>
    <row r="228" spans="1:5" ht="12.75">
      <c r="A228" s="16"/>
      <c r="B228" s="17" t="s">
        <v>291</v>
      </c>
      <c r="C228" s="201"/>
      <c r="D228" s="84">
        <v>45</v>
      </c>
      <c r="E228" s="85">
        <v>45</v>
      </c>
    </row>
    <row r="229" spans="1:5" ht="12.75">
      <c r="A229" s="16"/>
      <c r="B229" s="17"/>
      <c r="C229" s="201"/>
      <c r="D229" s="23"/>
      <c r="E229" s="112"/>
    </row>
    <row r="230" spans="1:5" ht="12.75">
      <c r="A230" s="16"/>
      <c r="B230" s="17" t="s">
        <v>292</v>
      </c>
      <c r="C230" s="201"/>
      <c r="D230" s="86">
        <v>1</v>
      </c>
      <c r="E230" s="87">
        <v>1</v>
      </c>
    </row>
    <row r="231" spans="1:5" ht="12.75">
      <c r="A231" s="16"/>
      <c r="B231" s="17" t="s">
        <v>293</v>
      </c>
      <c r="C231" s="201"/>
      <c r="D231" s="84">
        <v>450</v>
      </c>
      <c r="E231" s="85">
        <v>450</v>
      </c>
    </row>
    <row r="232" spans="1:5" ht="12.75">
      <c r="A232" s="16"/>
      <c r="B232" s="17"/>
      <c r="C232" s="201"/>
      <c r="D232" s="23"/>
      <c r="E232" s="112"/>
    </row>
    <row r="233" spans="1:5" ht="12.75">
      <c r="A233" s="24" t="s">
        <v>294</v>
      </c>
      <c r="B233" s="17"/>
      <c r="C233" s="201"/>
      <c r="D233" s="17"/>
      <c r="E233" s="18"/>
    </row>
    <row r="234" spans="1:5" ht="12.75">
      <c r="A234" s="16"/>
      <c r="B234" s="17" t="s">
        <v>295</v>
      </c>
      <c r="C234" s="201"/>
      <c r="D234" s="86">
        <v>8</v>
      </c>
      <c r="E234" s="87">
        <v>18</v>
      </c>
    </row>
    <row r="235" spans="1:5" ht="12.75">
      <c r="A235" s="16"/>
      <c r="B235" s="17" t="s">
        <v>296</v>
      </c>
      <c r="C235" s="201"/>
      <c r="D235" s="84">
        <v>1000</v>
      </c>
      <c r="E235" s="85">
        <v>1000</v>
      </c>
    </row>
    <row r="236" spans="1:5" ht="12.75">
      <c r="A236" s="16"/>
      <c r="B236" s="17" t="s">
        <v>297</v>
      </c>
      <c r="C236" s="201"/>
      <c r="D236" s="76">
        <v>0.5</v>
      </c>
      <c r="E236" s="18"/>
    </row>
    <row r="237" spans="1:5" ht="12.75">
      <c r="A237" s="16"/>
      <c r="B237" s="17"/>
      <c r="C237" s="201"/>
      <c r="D237" s="17"/>
      <c r="E237" s="18"/>
    </row>
    <row r="238" spans="1:5" ht="13.5" thickBot="1">
      <c r="A238" s="19"/>
      <c r="B238" s="20"/>
      <c r="C238" s="20"/>
      <c r="D238" s="20"/>
      <c r="E238" s="21"/>
    </row>
    <row r="240" spans="3:5" ht="12.75">
      <c r="C240" s="169" t="s">
        <v>319</v>
      </c>
      <c r="D240" s="169" t="s">
        <v>320</v>
      </c>
      <c r="E240" s="169" t="s">
        <v>321</v>
      </c>
    </row>
    <row r="242" spans="1:43" ht="12.75">
      <c r="A242" s="25" t="s">
        <v>176</v>
      </c>
      <c r="C242" s="23"/>
      <c r="D242" s="23">
        <f>SUM(D243:D245)</f>
        <v>264000</v>
      </c>
      <c r="E242" s="23">
        <f>SUM(E243:E245)</f>
        <v>480000</v>
      </c>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row>
    <row r="243" spans="2:43" ht="12.75">
      <c r="B243" s="25" t="s">
        <v>298</v>
      </c>
      <c r="C243" s="23"/>
      <c r="D243" s="23">
        <f>D222*D227*D228</f>
        <v>81000</v>
      </c>
      <c r="E243" s="23">
        <f>E222*E227*E228</f>
        <v>81000</v>
      </c>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row>
    <row r="244" spans="2:43" ht="12.75">
      <c r="B244" s="25" t="s">
        <v>299</v>
      </c>
      <c r="C244" s="23"/>
      <c r="D244" s="23">
        <f>D225*D230*D231</f>
        <v>135000</v>
      </c>
      <c r="E244" s="23">
        <f>E225*E230*E231</f>
        <v>135000</v>
      </c>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row>
    <row r="245" spans="2:43" ht="12.75">
      <c r="B245" s="25" t="s">
        <v>300</v>
      </c>
      <c r="C245" s="23"/>
      <c r="D245" s="23">
        <f>D234*(D235*12)*D236</f>
        <v>48000</v>
      </c>
      <c r="E245" s="23">
        <f>(D234*(D235*12)*D236)+(E234*(E235*12))</f>
        <v>264000</v>
      </c>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row>
    <row r="246" ht="12.75">
      <c r="C246" s="183"/>
    </row>
    <row r="249" ht="12.75">
      <c r="A249" s="99" t="s">
        <v>301</v>
      </c>
    </row>
    <row r="250" spans="1:2" ht="12.75">
      <c r="A250" s="99"/>
      <c r="B250" s="164" t="s">
        <v>302</v>
      </c>
    </row>
    <row r="251" spans="1:2" ht="12.75">
      <c r="A251" s="99"/>
      <c r="B251" s="164" t="s">
        <v>303</v>
      </c>
    </row>
    <row r="252" ht="13.5" thickBot="1"/>
    <row r="253" spans="1:6" ht="12.75">
      <c r="A253" s="70" t="s">
        <v>197</v>
      </c>
      <c r="B253" s="71"/>
      <c r="C253" s="71"/>
      <c r="D253" s="71"/>
      <c r="E253" s="331"/>
      <c r="F253" s="167"/>
    </row>
    <row r="254" spans="1:5" ht="12.75">
      <c r="A254" s="16"/>
      <c r="B254" s="48"/>
      <c r="C254" s="55" t="s">
        <v>319</v>
      </c>
      <c r="D254" s="55" t="s">
        <v>320</v>
      </c>
      <c r="E254" s="130" t="s">
        <v>321</v>
      </c>
    </row>
    <row r="255" spans="1:5" ht="12.75">
      <c r="A255" s="16"/>
      <c r="B255" s="48"/>
      <c r="C255" s="55"/>
      <c r="D255" s="55"/>
      <c r="E255" s="130"/>
    </row>
    <row r="256" spans="1:5" ht="12.75">
      <c r="A256" s="16"/>
      <c r="B256" s="48" t="s">
        <v>401</v>
      </c>
      <c r="C256" s="201"/>
      <c r="D256" s="86">
        <v>2</v>
      </c>
      <c r="E256" s="87">
        <v>1</v>
      </c>
    </row>
    <row r="257" spans="1:5" ht="12.75">
      <c r="A257" s="16"/>
      <c r="B257" s="48" t="s">
        <v>402</v>
      </c>
      <c r="C257" s="201"/>
      <c r="D257" s="86"/>
      <c r="E257" s="87">
        <v>2</v>
      </c>
    </row>
    <row r="258" spans="1:5" ht="12.75">
      <c r="A258" s="16"/>
      <c r="B258" s="48" t="s">
        <v>400</v>
      </c>
      <c r="C258" s="201"/>
      <c r="D258" s="201">
        <f>D256+D257</f>
        <v>2</v>
      </c>
      <c r="E258" s="202">
        <f>E256+E257</f>
        <v>3</v>
      </c>
    </row>
    <row r="259" spans="1:5" ht="12.75">
      <c r="A259" s="16"/>
      <c r="B259" s="48"/>
      <c r="C259" s="55"/>
      <c r="D259" s="55"/>
      <c r="E259" s="130"/>
    </row>
    <row r="260" spans="1:5" ht="12.75">
      <c r="A260" s="16"/>
      <c r="B260" s="48" t="s">
        <v>188</v>
      </c>
      <c r="C260" s="55"/>
      <c r="D260" s="173">
        <f>D30</f>
        <v>300000</v>
      </c>
      <c r="E260" s="174">
        <f>E30</f>
        <v>300000</v>
      </c>
    </row>
    <row r="261" spans="1:5" ht="12.75">
      <c r="A261" s="16"/>
      <c r="B261" s="48" t="s">
        <v>304</v>
      </c>
      <c r="C261" s="55"/>
      <c r="D261" s="76">
        <v>0.05</v>
      </c>
      <c r="E261" s="69">
        <v>0.05</v>
      </c>
    </row>
    <row r="262" spans="1:5" ht="12.75">
      <c r="A262" s="16"/>
      <c r="B262" s="48" t="s">
        <v>305</v>
      </c>
      <c r="C262" s="55"/>
      <c r="D262" s="201">
        <f>D260*D261</f>
        <v>15000</v>
      </c>
      <c r="E262" s="202">
        <f>E260*E261</f>
        <v>15000</v>
      </c>
    </row>
    <row r="263" spans="1:5" ht="12.75">
      <c r="A263" s="16"/>
      <c r="B263" s="48"/>
      <c r="C263" s="55"/>
      <c r="D263" s="201"/>
      <c r="E263" s="202"/>
    </row>
    <row r="264" spans="1:5" ht="12.75">
      <c r="A264" s="16"/>
      <c r="B264" s="48" t="s">
        <v>306</v>
      </c>
      <c r="C264" s="55"/>
      <c r="D264" s="76">
        <v>0.02</v>
      </c>
      <c r="E264" s="69">
        <v>0.02</v>
      </c>
    </row>
    <row r="265" spans="1:5" ht="12.75">
      <c r="A265" s="16"/>
      <c r="B265" s="48" t="s">
        <v>307</v>
      </c>
      <c r="C265" s="55"/>
      <c r="D265" s="173">
        <f>D262*D264</f>
        <v>300</v>
      </c>
      <c r="E265" s="174">
        <f>E262*E264</f>
        <v>300</v>
      </c>
    </row>
    <row r="266" spans="1:5" ht="12.75">
      <c r="A266" s="16"/>
      <c r="B266" s="48"/>
      <c r="C266" s="55"/>
      <c r="D266" s="55"/>
      <c r="E266" s="130"/>
    </row>
    <row r="267" spans="1:5" ht="12.75">
      <c r="A267" s="16"/>
      <c r="B267" s="17" t="s">
        <v>308</v>
      </c>
      <c r="C267" s="55"/>
      <c r="D267" s="84">
        <v>200</v>
      </c>
      <c r="E267" s="85">
        <v>200</v>
      </c>
    </row>
    <row r="268" spans="1:5" ht="12.75">
      <c r="A268" s="16"/>
      <c r="B268" s="17"/>
      <c r="C268" s="55"/>
      <c r="D268" s="17"/>
      <c r="E268" s="18"/>
    </row>
    <row r="269" spans="1:5" ht="13.5" thickBot="1">
      <c r="A269" s="19"/>
      <c r="B269" s="20"/>
      <c r="C269" s="20"/>
      <c r="D269" s="20"/>
      <c r="E269" s="21"/>
    </row>
    <row r="271" spans="3:5" ht="12.75">
      <c r="C271" s="169" t="s">
        <v>319</v>
      </c>
      <c r="D271" s="169" t="s">
        <v>320</v>
      </c>
      <c r="E271" s="169" t="s">
        <v>321</v>
      </c>
    </row>
    <row r="273" spans="1:5" ht="12.75">
      <c r="A273" s="25" t="s">
        <v>177</v>
      </c>
      <c r="C273" s="23"/>
      <c r="D273" s="23">
        <f>D258*D265*D267</f>
        <v>120000</v>
      </c>
      <c r="E273" s="23">
        <f>E258*E265*E267</f>
        <v>180000</v>
      </c>
    </row>
    <row r="277" spans="1:2" ht="12.75">
      <c r="A277" s="197" t="s">
        <v>309</v>
      </c>
      <c r="B277" s="167"/>
    </row>
    <row r="278" spans="1:2" ht="12.75">
      <c r="A278" s="99"/>
      <c r="B278" s="25" t="s">
        <v>310</v>
      </c>
    </row>
    <row r="279" spans="1:2" ht="12.75">
      <c r="A279" s="99"/>
      <c r="B279" s="164" t="s">
        <v>202</v>
      </c>
    </row>
    <row r="280" spans="1:2" ht="12.75">
      <c r="A280" s="99"/>
      <c r="B280" s="25" t="s">
        <v>312</v>
      </c>
    </row>
    <row r="281" spans="1:2" ht="12.75">
      <c r="A281" s="99"/>
      <c r="B281" s="164" t="s">
        <v>311</v>
      </c>
    </row>
    <row r="282" ht="13.5" thickBot="1"/>
    <row r="283" spans="1:8" ht="12.75">
      <c r="A283" s="70" t="s">
        <v>197</v>
      </c>
      <c r="B283" s="71"/>
      <c r="C283" s="71"/>
      <c r="D283" s="71"/>
      <c r="E283" s="331"/>
      <c r="F283" s="167"/>
      <c r="H283" s="164"/>
    </row>
    <row r="284" spans="1:5" ht="12.75">
      <c r="A284" s="16"/>
      <c r="B284" s="48"/>
      <c r="C284" s="55" t="s">
        <v>319</v>
      </c>
      <c r="D284" s="55" t="s">
        <v>320</v>
      </c>
      <c r="E284" s="130" t="s">
        <v>321</v>
      </c>
    </row>
    <row r="285" spans="1:5" ht="12.75">
      <c r="A285" s="16"/>
      <c r="B285" s="185" t="s">
        <v>188</v>
      </c>
      <c r="C285" s="185"/>
      <c r="D285" s="172"/>
      <c r="E285" s="174">
        <f>E30</f>
        <v>300000</v>
      </c>
    </row>
    <row r="286" spans="1:5" ht="12.75">
      <c r="A286" s="16"/>
      <c r="B286" s="185" t="s">
        <v>436</v>
      </c>
      <c r="C286" s="185"/>
      <c r="D286" s="172"/>
      <c r="E286" s="336">
        <v>0.0001</v>
      </c>
    </row>
    <row r="287" spans="1:5" ht="12.75">
      <c r="A287" s="16"/>
      <c r="B287" s="185" t="s">
        <v>437</v>
      </c>
      <c r="C287" s="185"/>
      <c r="D287" s="172"/>
      <c r="E287" s="174">
        <f>E285*E286</f>
        <v>30</v>
      </c>
    </row>
    <row r="288" spans="1:5" ht="12.75">
      <c r="A288" s="16"/>
      <c r="B288" s="185" t="s">
        <v>438</v>
      </c>
      <c r="C288" s="185"/>
      <c r="D288" s="172"/>
      <c r="E288" s="337">
        <v>0.05</v>
      </c>
    </row>
    <row r="289" spans="1:5" ht="12.75">
      <c r="A289" s="16"/>
      <c r="B289" s="185" t="s">
        <v>439</v>
      </c>
      <c r="C289" s="185"/>
      <c r="D289" s="172"/>
      <c r="E289" s="337">
        <v>0.2</v>
      </c>
    </row>
    <row r="290" spans="1:5" ht="12.75">
      <c r="A290" s="16"/>
      <c r="B290" s="185" t="s">
        <v>440</v>
      </c>
      <c r="C290" s="185"/>
      <c r="D290" s="172"/>
      <c r="E290" s="337">
        <v>0.75</v>
      </c>
    </row>
    <row r="291" spans="1:5" ht="12.75">
      <c r="A291" s="16"/>
      <c r="B291" s="185"/>
      <c r="C291" s="185"/>
      <c r="D291" s="172"/>
      <c r="E291" s="203"/>
    </row>
    <row r="292" spans="1:5" ht="12.75">
      <c r="A292" s="16"/>
      <c r="B292" s="185" t="s">
        <v>441</v>
      </c>
      <c r="C292" s="185"/>
      <c r="D292" s="172"/>
      <c r="E292" s="336">
        <v>0.0005</v>
      </c>
    </row>
    <row r="293" spans="1:5" ht="12.75">
      <c r="A293" s="16"/>
      <c r="B293" s="185" t="s">
        <v>442</v>
      </c>
      <c r="C293" s="185"/>
      <c r="D293" s="172"/>
      <c r="E293" s="174">
        <f>E285*E292</f>
        <v>150</v>
      </c>
    </row>
    <row r="294" spans="1:5" ht="12.75">
      <c r="A294" s="16"/>
      <c r="B294" s="185" t="s">
        <v>443</v>
      </c>
      <c r="C294" s="185"/>
      <c r="D294" s="172"/>
      <c r="E294" s="337">
        <v>0.05</v>
      </c>
    </row>
    <row r="295" spans="1:5" ht="12.75">
      <c r="A295" s="16"/>
      <c r="B295" s="185" t="s">
        <v>444</v>
      </c>
      <c r="C295" s="185"/>
      <c r="D295" s="172"/>
      <c r="E295" s="337">
        <v>0.2</v>
      </c>
    </row>
    <row r="296" spans="1:5" ht="12.75">
      <c r="A296" s="16"/>
      <c r="B296" s="185" t="s">
        <v>445</v>
      </c>
      <c r="C296" s="185"/>
      <c r="D296" s="172"/>
      <c r="E296" s="337">
        <v>0.75</v>
      </c>
    </row>
    <row r="297" spans="1:5" ht="12.75">
      <c r="A297" s="16"/>
      <c r="B297" s="185"/>
      <c r="C297" s="185"/>
      <c r="D297" s="172"/>
      <c r="E297" s="203"/>
    </row>
    <row r="298" spans="1:5" ht="12.75">
      <c r="A298" s="16"/>
      <c r="B298" s="185" t="s">
        <v>446</v>
      </c>
      <c r="C298" s="185"/>
      <c r="D298" s="172"/>
      <c r="E298" s="338">
        <v>0.001</v>
      </c>
    </row>
    <row r="299" spans="1:5" ht="12.75">
      <c r="A299" s="16"/>
      <c r="B299" s="185" t="s">
        <v>358</v>
      </c>
      <c r="C299" s="185"/>
      <c r="D299" s="172"/>
      <c r="E299" s="174">
        <f>E285*E298</f>
        <v>300</v>
      </c>
    </row>
    <row r="300" spans="1:5" ht="12.75">
      <c r="A300" s="16"/>
      <c r="B300" s="185"/>
      <c r="C300" s="185"/>
      <c r="D300" s="172"/>
      <c r="E300" s="203"/>
    </row>
    <row r="301" spans="1:5" ht="12.75">
      <c r="A301" s="16"/>
      <c r="B301" s="185" t="s">
        <v>447</v>
      </c>
      <c r="C301" s="185"/>
      <c r="D301" s="172"/>
      <c r="E301" s="203"/>
    </row>
    <row r="302" spans="1:5" ht="12.75">
      <c r="A302" s="16"/>
      <c r="B302" s="185" t="s">
        <v>448</v>
      </c>
      <c r="C302" s="185"/>
      <c r="D302" s="172"/>
      <c r="E302" s="339">
        <v>500</v>
      </c>
    </row>
    <row r="303" spans="1:5" ht="12.75">
      <c r="A303" s="16"/>
      <c r="B303" s="185" t="s">
        <v>449</v>
      </c>
      <c r="C303" s="185"/>
      <c r="D303" s="172"/>
      <c r="E303" s="339">
        <v>200</v>
      </c>
    </row>
    <row r="304" spans="1:8" ht="12.75">
      <c r="A304" s="16"/>
      <c r="B304" s="185" t="s">
        <v>450</v>
      </c>
      <c r="C304" s="185"/>
      <c r="D304" s="172"/>
      <c r="E304" s="339">
        <v>200</v>
      </c>
      <c r="H304" s="164"/>
    </row>
    <row r="305" spans="1:8" ht="12.75">
      <c r="A305" s="16"/>
      <c r="B305" s="185"/>
      <c r="C305" s="185"/>
      <c r="D305" s="172"/>
      <c r="E305" s="203"/>
      <c r="H305" s="164"/>
    </row>
    <row r="306" spans="1:8" ht="12.75">
      <c r="A306" s="16"/>
      <c r="B306" s="185" t="s">
        <v>451</v>
      </c>
      <c r="C306" s="185"/>
      <c r="D306" s="172"/>
      <c r="E306" s="203"/>
      <c r="H306" s="164"/>
    </row>
    <row r="307" spans="1:8" ht="12.75">
      <c r="A307" s="16"/>
      <c r="B307" s="185" t="s">
        <v>448</v>
      </c>
      <c r="C307" s="185"/>
      <c r="D307" s="172"/>
      <c r="E307" s="339">
        <v>500</v>
      </c>
      <c r="H307" s="164"/>
    </row>
    <row r="308" spans="1:8" ht="12.75">
      <c r="A308" s="16"/>
      <c r="B308" s="185" t="s">
        <v>449</v>
      </c>
      <c r="C308" s="185"/>
      <c r="D308" s="172"/>
      <c r="E308" s="339">
        <v>200</v>
      </c>
      <c r="F308" s="170"/>
      <c r="H308" s="164"/>
    </row>
    <row r="309" spans="1:5" ht="12.75">
      <c r="A309" s="16"/>
      <c r="B309" s="185" t="s">
        <v>450</v>
      </c>
      <c r="C309" s="185"/>
      <c r="D309" s="172"/>
      <c r="E309" s="339">
        <v>200</v>
      </c>
    </row>
    <row r="310" spans="1:5" ht="12.75">
      <c r="A310" s="16"/>
      <c r="B310" s="17"/>
      <c r="C310" s="185"/>
      <c r="D310" s="172"/>
      <c r="E310" s="18"/>
    </row>
    <row r="311" spans="1:5" ht="12.75">
      <c r="A311" s="16"/>
      <c r="B311" s="17" t="s">
        <v>367</v>
      </c>
      <c r="C311" s="185"/>
      <c r="D311" s="172"/>
      <c r="E311" s="339">
        <v>200</v>
      </c>
    </row>
    <row r="312" spans="1:5" ht="12.75">
      <c r="A312" s="16"/>
      <c r="B312" s="17"/>
      <c r="C312" s="185"/>
      <c r="D312" s="172"/>
      <c r="E312" s="18"/>
    </row>
    <row r="313" spans="1:5" ht="13.5" thickBot="1">
      <c r="A313" s="19"/>
      <c r="B313" s="20"/>
      <c r="C313" s="20"/>
      <c r="D313" s="20"/>
      <c r="E313" s="21"/>
    </row>
    <row r="315" spans="3:5" ht="12.75">
      <c r="C315" s="169" t="s">
        <v>319</v>
      </c>
      <c r="D315" s="169" t="s">
        <v>320</v>
      </c>
      <c r="E315" s="169" t="s">
        <v>321</v>
      </c>
    </row>
    <row r="316" ht="12.75">
      <c r="A316" s="99"/>
    </row>
    <row r="317" spans="1:43" ht="12.75">
      <c r="A317" s="25" t="s">
        <v>178</v>
      </c>
      <c r="C317" s="23"/>
      <c r="D317" s="23"/>
      <c r="E317" s="23">
        <f>SUM(E318:E320)</f>
        <v>98700</v>
      </c>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row>
    <row r="318" spans="2:43" ht="12.75">
      <c r="B318" s="25" t="s">
        <v>452</v>
      </c>
      <c r="C318" s="23"/>
      <c r="D318" s="23"/>
      <c r="E318" s="23">
        <f>(E285*E286*E288*E302)+(E285*E286*E289*E303)+(E285*E286*E290*E304)</f>
        <v>6450</v>
      </c>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row>
    <row r="319" spans="2:43" ht="12.75">
      <c r="B319" s="25" t="s">
        <v>453</v>
      </c>
      <c r="C319" s="23"/>
      <c r="D319" s="23"/>
      <c r="E319" s="23">
        <f>(E285*E292*E294*E307)+(E285*E292*E295*E308)+(E285*E292*E296*E309)</f>
        <v>32250</v>
      </c>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row>
    <row r="320" spans="2:43" ht="12.75">
      <c r="B320" s="25" t="s">
        <v>454</v>
      </c>
      <c r="C320" s="23"/>
      <c r="D320" s="23"/>
      <c r="E320" s="23">
        <f>(E285*E298*E311)</f>
        <v>60000</v>
      </c>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row>
    <row r="321" spans="1:3" ht="12.75">
      <c r="A321" s="99"/>
      <c r="C321" s="136"/>
    </row>
    <row r="324" ht="12.75">
      <c r="A324" s="99" t="s">
        <v>455</v>
      </c>
    </row>
    <row r="325" spans="1:2" ht="12.75">
      <c r="A325" s="99"/>
      <c r="B325" s="25" t="s">
        <v>290</v>
      </c>
    </row>
    <row r="326" spans="1:2" ht="12.75">
      <c r="A326" s="99"/>
      <c r="B326" s="164" t="s">
        <v>456</v>
      </c>
    </row>
    <row r="327" spans="1:2" ht="12.75">
      <c r="A327" s="99"/>
      <c r="B327" s="164" t="s">
        <v>457</v>
      </c>
    </row>
    <row r="328" ht="13.5" thickBot="1"/>
    <row r="329" spans="1:5" ht="12.75">
      <c r="A329" s="70" t="s">
        <v>197</v>
      </c>
      <c r="B329" s="71"/>
      <c r="C329" s="71"/>
      <c r="D329" s="71"/>
      <c r="E329" s="331"/>
    </row>
    <row r="330" spans="1:5" ht="12.75">
      <c r="A330" s="16"/>
      <c r="B330" s="48"/>
      <c r="C330" s="55" t="s">
        <v>319</v>
      </c>
      <c r="D330" s="55" t="s">
        <v>320</v>
      </c>
      <c r="E330" s="130" t="s">
        <v>321</v>
      </c>
    </row>
    <row r="331" spans="1:43" ht="12.75">
      <c r="A331" s="16"/>
      <c r="B331" s="17" t="s">
        <v>188</v>
      </c>
      <c r="C331" s="11"/>
      <c r="D331" s="11"/>
      <c r="E331" s="174">
        <f>E30</f>
        <v>300000</v>
      </c>
      <c r="F331" s="182"/>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row>
    <row r="332" spans="1:6" ht="12.75">
      <c r="A332" s="16"/>
      <c r="B332" s="17" t="s">
        <v>458</v>
      </c>
      <c r="C332" s="11"/>
      <c r="D332" s="11"/>
      <c r="E332" s="69">
        <v>0.05</v>
      </c>
      <c r="F332" s="182"/>
    </row>
    <row r="333" spans="1:6" s="167" customFormat="1" ht="12.75">
      <c r="A333" s="131"/>
      <c r="B333" s="8"/>
      <c r="C333" s="173"/>
      <c r="D333" s="173"/>
      <c r="E333" s="9"/>
      <c r="F333" s="340"/>
    </row>
    <row r="334" spans="1:5" ht="12.75">
      <c r="A334" s="16"/>
      <c r="B334" s="17"/>
      <c r="C334" s="11"/>
      <c r="D334" s="11"/>
      <c r="E334" s="166"/>
    </row>
    <row r="335" spans="1:5" ht="12.75">
      <c r="A335" s="16"/>
      <c r="B335" s="17" t="s">
        <v>459</v>
      </c>
      <c r="C335" s="11"/>
      <c r="D335" s="11"/>
      <c r="E335" s="87">
        <v>2</v>
      </c>
    </row>
    <row r="336" spans="1:5" ht="12.75">
      <c r="A336" s="16"/>
      <c r="B336" s="17" t="s">
        <v>460</v>
      </c>
      <c r="C336" s="11"/>
      <c r="D336" s="11"/>
      <c r="E336" s="87">
        <v>300</v>
      </c>
    </row>
    <row r="337" spans="1:5" ht="12.75">
      <c r="A337" s="16"/>
      <c r="B337" s="17" t="s">
        <v>461</v>
      </c>
      <c r="C337" s="11"/>
      <c r="D337" s="11"/>
      <c r="E337" s="75">
        <v>0.05</v>
      </c>
    </row>
    <row r="338" spans="1:5" ht="12.75">
      <c r="A338" s="16"/>
      <c r="B338" s="17"/>
      <c r="C338" s="17"/>
      <c r="D338" s="17"/>
      <c r="E338" s="18"/>
    </row>
    <row r="339" spans="1:5" ht="13.5" thickBot="1">
      <c r="A339" s="19"/>
      <c r="B339" s="20"/>
      <c r="C339" s="20"/>
      <c r="D339" s="20"/>
      <c r="E339" s="21"/>
    </row>
    <row r="341" spans="3:5" ht="12.75">
      <c r="C341" s="169" t="s">
        <v>319</v>
      </c>
      <c r="D341" s="169" t="s">
        <v>320</v>
      </c>
      <c r="E341" s="169" t="s">
        <v>321</v>
      </c>
    </row>
    <row r="342" ht="12.75">
      <c r="A342" s="99"/>
    </row>
    <row r="343" spans="1:43" ht="12.75">
      <c r="A343" s="25" t="s">
        <v>179</v>
      </c>
      <c r="C343" s="23"/>
      <c r="D343" s="23"/>
      <c r="E343" s="23">
        <f>E331*E332*E335*E336*E337</f>
        <v>450000</v>
      </c>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Faust</dc:creator>
  <cp:keywords/>
  <dc:description/>
  <cp:lastModifiedBy>Matt Sollars</cp:lastModifiedBy>
  <cp:lastPrinted>2005-10-25T16:07:29Z</cp:lastPrinted>
  <dcterms:created xsi:type="dcterms:W3CDTF">2005-04-07T14:38:56Z</dcterms:created>
  <dcterms:modified xsi:type="dcterms:W3CDTF">2009-08-13T19:49:33Z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