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40" windowWidth="19320" windowHeight="12120" tabRatio="500" activeTab="0"/>
  </bookViews>
  <sheets>
    <sheet name="Income State - Non-Profit" sheetId="1" r:id="rId1"/>
    <sheet name="Drivers - Revenues" sheetId="2" r:id="rId2"/>
    <sheet name="Drivers - Expenses" sheetId="3" r:id="rId3"/>
    <sheet name="Salaries" sheetId="4" r:id="rId4"/>
    <sheet name="MinnPost Data" sheetId="5" r:id="rId5"/>
  </sheets>
  <externalReferences>
    <externalReference r:id="rId8"/>
  </externalReferences>
  <definedNames>
    <definedName name="Beg_Bal">#REF!</definedName>
    <definedName name="End_Bal">'[1]Amortization Table'!$I$18:$I$377</definedName>
    <definedName name="Extra_Pay">#REF!</definedName>
    <definedName name="frow">IF(Values_Entered,Header_Row+Number_of_Payments,Header_Row)</definedName>
    <definedName name="Header_Row">ROW('[1]Amortization Table'!$17:$17)</definedName>
    <definedName name="Int">#REF!</definedName>
    <definedName name="Interest_Rate">'[1]Amortization Table'!$D$5</definedName>
    <definedName name="Last_Row">IF(Values_Entered,Header_Row+Number_of_Payments,Header_Row)</definedName>
    <definedName name="Loan_Amount">'[1]Amortization Table'!$D$4</definedName>
    <definedName name="Loan_Start">'[1]Amortization Table'!$D$7</definedName>
    <definedName name="Loan_Years">'[1]Amortization Table'!$D$6</definedName>
    <definedName name="Next_row">IF(Values_Entered,Header_Row+Number_of_Payments,Header_Row)</definedName>
    <definedName name="Number_of_Payments">MATCH(0.01,End_Bal,-1)+1</definedName>
    <definedName name="Pay_Num">#REF!</definedName>
    <definedName name="ppp">#REF!</definedName>
    <definedName name="Princ">#REF!</definedName>
    <definedName name="Sched_Pay">#REF!</definedName>
    <definedName name="Scheduled_Extra_Payments">#REF!</definedName>
    <definedName name="Scheduled_Monthly_Payment">#REF!</definedName>
    <definedName name="Total_Pay">#REF!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<sst xmlns="http://schemas.openxmlformats.org/spreadsheetml/2006/main" count="273" uniqueCount="159">
  <si>
    <t>Total Annual Ad Revenue</t>
  </si>
  <si>
    <t xml:space="preserve">Fundraising </t>
  </si>
  <si>
    <t>MinnPost Monthly UV</t>
  </si>
  <si>
    <t>Donors</t>
  </si>
  <si>
    <t>Media Moguls ($5,000 to $10,000)</t>
  </si>
  <si>
    <t>***UP at !0% across the board</t>
  </si>
  <si>
    <t>Local Ads and Sponsorships (Effective CPM)</t>
  </si>
  <si>
    <t>Average Monthly Ad Revenue (Local Ads &amp; Sponsorships)</t>
  </si>
  <si>
    <t>Total Monthly Ad Revenue (Local Ads, Sponsorships + Contextual)</t>
  </si>
  <si>
    <t>Square footage/person</t>
  </si>
  <si>
    <t>Cost/Sq. Ft.</t>
  </si>
  <si>
    <t>Website Development</t>
  </si>
  <si>
    <t>Investment Income</t>
  </si>
  <si>
    <t>STAFFING</t>
  </si>
  <si>
    <t>HEADCOUNT</t>
  </si>
  <si>
    <t>SALARIES</t>
  </si>
  <si>
    <t>ANNUAL SALARY COSTS</t>
  </si>
  <si>
    <t>Total # of Adults 18+/Online (Metrowide)</t>
  </si>
  <si>
    <t xml:space="preserve">Total Annual Ecommerce Revenue </t>
  </si>
  <si>
    <t>Expense Assumptions</t>
  </si>
  <si>
    <t>% of UV who are members</t>
  </si>
  <si>
    <t>**MinnPost was used as a proxy for the overall; these figures are estimates only; Minnpost received approximately $290K in membership fees in first 14 months</t>
  </si>
  <si>
    <t>Average Monthly Ad Revenue (Contextual)</t>
  </si>
  <si>
    <t xml:space="preserve">Total Annual Event Revenue </t>
  </si>
  <si>
    <t>Cost per Ticket per Event</t>
  </si>
  <si>
    <t>Advertising and Corporate Sponsorship</t>
  </si>
  <si>
    <t>Additional Revenue Opportunities</t>
  </si>
  <si>
    <t>Membership Support</t>
  </si>
  <si>
    <t>Year 1</t>
  </si>
  <si>
    <t>Year 2</t>
  </si>
  <si>
    <t>Miscellaneous Expenses</t>
  </si>
  <si>
    <t>Capital Expenses</t>
  </si>
  <si>
    <t>Earnings Before Income and Taxes</t>
  </si>
  <si>
    <t>Earnings</t>
  </si>
  <si>
    <t>Net Margin</t>
  </si>
  <si>
    <t>Insurance</t>
  </si>
  <si>
    <t>Rent</t>
  </si>
  <si>
    <t xml:space="preserve">Travel </t>
  </si>
  <si>
    <t>Legal &amp; Accounting Fees</t>
  </si>
  <si>
    <t>Mth 3</t>
  </si>
  <si>
    <t>Mth 4</t>
  </si>
  <si>
    <t>Assumptions</t>
  </si>
  <si>
    <t>Compensation Annual Increase</t>
  </si>
  <si>
    <t>Advertising &amp; Corporate Sponsorship</t>
  </si>
  <si>
    <t>E-Commerce</t>
  </si>
  <si>
    <t>Membership Costs</t>
  </si>
  <si>
    <t>Membership Expenses</t>
  </si>
  <si>
    <t>Total:</t>
  </si>
  <si>
    <t>Fundraising Costs</t>
  </si>
  <si>
    <t># of donors</t>
  </si>
  <si>
    <t>Av. Amount</t>
  </si>
  <si>
    <t>Total Donated</t>
  </si>
  <si>
    <t>Total # of Donors</t>
  </si>
  <si>
    <t>Total # of Members at Individual Levels</t>
  </si>
  <si>
    <t>Total Annual Membership Revenues/Level</t>
  </si>
  <si>
    <t>Total Annual Membership Revenues</t>
  </si>
  <si>
    <t>Foundation Support</t>
  </si>
  <si>
    <t>Total # of Foundations Providing Support</t>
  </si>
  <si>
    <t>Average Grant Size</t>
  </si>
  <si>
    <t>Total Foundation Support</t>
  </si>
  <si>
    <t>Fundraising Events</t>
  </si>
  <si>
    <t>Assumed to be 10% of annual revenue</t>
  </si>
  <si>
    <t>Membership Expense</t>
  </si>
  <si>
    <t>Assumes 10% of Fundraising Revenues</t>
  </si>
  <si>
    <t>Funding from Foundations</t>
  </si>
  <si>
    <t>Revenue Assumptions</t>
  </si>
  <si>
    <t>Unique Visitors &amp; Page Views</t>
  </si>
  <si>
    <t>Beginning UV</t>
  </si>
  <si>
    <t>Ending UV</t>
  </si>
  <si>
    <t>Page Views/User/Mo.</t>
  </si>
  <si>
    <t>Total Monthly PVs</t>
  </si>
  <si>
    <t>Total # of Ads Units Per Page</t>
  </si>
  <si>
    <t>Total Impressions (All Ad Types)</t>
  </si>
  <si>
    <t>Sell Through Rate (overall)</t>
  </si>
  <si>
    <t>Average CPM</t>
  </si>
  <si>
    <t>Contextual Ads (Google, e.g.)</t>
  </si>
  <si>
    <t># of Ads per Page</t>
  </si>
  <si>
    <t>CPC</t>
  </si>
  <si>
    <t>CTR</t>
  </si>
  <si>
    <t>Ecommerce</t>
  </si>
  <si>
    <t>Monthly $ per Converted User</t>
  </si>
  <si>
    <t>User Conversion rate</t>
  </si>
  <si>
    <t>Events</t>
  </si>
  <si>
    <t># of Events/Year</t>
  </si>
  <si>
    <t># of Tickets Sold/Event</t>
  </si>
  <si>
    <t>% of Unique Visitors who become Members</t>
  </si>
  <si>
    <t>% of Members Donating at Individual Levels</t>
  </si>
  <si>
    <t>Copy Girls (&lt;$50)</t>
  </si>
  <si>
    <t>Club Reporters ($50 to $100)</t>
  </si>
  <si>
    <t>Night Police Reporters ($100-250)</t>
  </si>
  <si>
    <t>City Hall Reporters ($250 - $500)</t>
  </si>
  <si>
    <t>State Capital Bureau Chiefs ($500 - $1,000)</t>
  </si>
  <si>
    <t>Washington Correspondents ($1,000 - $2,500)</t>
  </si>
  <si>
    <t>Pulitzer Prize Winners ($2,500 to $5,000)</t>
  </si>
  <si>
    <t>Charter Members ($10,000 to $20,000)</t>
  </si>
  <si>
    <t>Benefactors ($20,000 +)</t>
  </si>
  <si>
    <t>MinnPost Donors</t>
  </si>
  <si>
    <t>Total # of Members</t>
  </si>
  <si>
    <t>% of Total</t>
  </si>
  <si>
    <t>Base</t>
  </si>
  <si>
    <t>Mth 1</t>
  </si>
  <si>
    <t>Mth 2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</si>
  <si>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</si>
  <si>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</si>
  <si>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</si>
  <si>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</si>
  <si>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</si>
  <si>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</si>
  <si>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</si>
  <si>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</si>
  <si>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Payroll/Tech Support/Other Admin</t>
  </si>
  <si>
    <t>SubTotal</t>
  </si>
  <si>
    <t>Expense/Revenue Margin</t>
  </si>
  <si>
    <t>Operating Income</t>
  </si>
  <si>
    <t>Operating income Margin</t>
  </si>
  <si>
    <t>Revenue before Operating Expenses</t>
  </si>
  <si>
    <t>Expenses</t>
  </si>
  <si>
    <t xml:space="preserve">Total Expenses </t>
  </si>
  <si>
    <t>Year 1</t>
  </si>
  <si>
    <t>Year 2</t>
  </si>
  <si>
    <t>Year 3</t>
  </si>
  <si>
    <t>Year 3</t>
  </si>
  <si>
    <t>Gross Revenues</t>
  </si>
  <si>
    <t>Revenues</t>
  </si>
  <si>
    <t>Total Monthly Ecommerce Revenues</t>
  </si>
  <si>
    <t>Income Tax Expense (@40%)</t>
  </si>
  <si>
    <t>% of these who are Non-Profit News Users</t>
  </si>
  <si>
    <t>Director, Product Development</t>
  </si>
  <si>
    <t>Payroll Taxes (9% of Salaries)</t>
  </si>
  <si>
    <t>Benefits (7% of Salaries)</t>
  </si>
  <si>
    <t>TOTAL - Salary + Benefits</t>
  </si>
  <si>
    <t>Director, Development</t>
  </si>
  <si>
    <t>Managing Editor</t>
  </si>
  <si>
    <t>Editorial Staff</t>
  </si>
  <si>
    <t>SG&amp;A</t>
  </si>
  <si>
    <t>Salaries</t>
  </si>
  <si>
    <t>Editor &amp; CEO</t>
  </si>
  <si>
    <t>Staff Writers</t>
  </si>
  <si>
    <t>Business Manager</t>
  </si>
  <si>
    <t>Community Manager</t>
  </si>
  <si>
    <t>Director, Advertising</t>
  </si>
  <si>
    <t>Contract &amp; Contributing Journalists</t>
  </si>
  <si>
    <t>Market Assumptions</t>
  </si>
  <si>
    <t>Capital Expenses</t>
  </si>
  <si>
    <t>Assumptions:</t>
  </si>
  <si>
    <t>Computers &amp; Infrastructure</t>
  </si>
  <si>
    <t>Website Development/Design</t>
  </si>
  <si>
    <t>Utility &amp; Lease Deposits</t>
  </si>
  <si>
    <t>Leasehold Improvements</t>
  </si>
  <si>
    <t>Annual Growth Rates</t>
  </si>
  <si>
    <t>Year 4</t>
  </si>
  <si>
    <t>Miscellaneous Expenses</t>
  </si>
  <si>
    <t>Miscellaneous Expenses includes:</t>
  </si>
  <si>
    <t>Supplies</t>
  </si>
  <si>
    <t>Postage and Shipping</t>
  </si>
  <si>
    <t>Printing and Publications</t>
  </si>
  <si>
    <t>Overall Metrowide Market</t>
  </si>
  <si>
    <t>Total # of Adults 18+ (Metrowide)</t>
  </si>
  <si>
    <t>% of these who are online users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</si>
</sst>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_(* #,##0.0_);_(* \(#,##0.0\);_(* &quot;-&quot;?_);_(@_)"/>
    <numFmt numFmtId="174" formatCode="&quot;$&quot;#,##0\ ;\(&quot;$&quot;#,##0\)"/>
    <numFmt numFmtId="175" formatCode="&quot;$&quot;#,##0.00\ ;\(&quot;$&quot;#,##0.00\)"/>
    <numFmt numFmtId="176" formatCode="&quot;$&quot;#,##0.0\ ;\(&quot;$&quot;#,##0.0\)"/>
    <numFmt numFmtId="177" formatCode="0.0"/>
    <numFmt numFmtId="178" formatCode="#,##0.0000"/>
    <numFmt numFmtId="179" formatCode="_(* #,##0_);_(* \(#,##0\);_(* &quot;-&quot;??_);_(@_)"/>
    <numFmt numFmtId="180" formatCode="_(* #,##0.000_);_(* \(#,##0.000\);_(* &quot;-&quot;???_);_(@_)"/>
    <numFmt numFmtId="181" formatCode="_(* #,##0.0_);_(* \(#,##0.0\);_(* &quot;-&quot;??_);_(@_)"/>
    <numFmt numFmtId="182" formatCode="&quot;$&quot;#,##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>
        <color indexed="63"/>
      </left>
      <right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>
        <color indexed="63"/>
      </left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1" fontId="5" fillId="0" borderId="0" xfId="17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71" fontId="5" fillId="0" borderId="0" xfId="17" applyNumberFormat="1" applyFont="1" applyAlignment="1">
      <alignment/>
    </xf>
    <xf numFmtId="171" fontId="8" fillId="0" borderId="1" xfId="0" applyNumberFormat="1" applyFont="1" applyFill="1" applyBorder="1" applyAlignment="1">
      <alignment/>
    </xf>
    <xf numFmtId="171" fontId="8" fillId="0" borderId="1" xfId="17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171" fontId="8" fillId="0" borderId="0" xfId="17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171" fontId="5" fillId="0" borderId="0" xfId="17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1" fontId="5" fillId="0" borderId="0" xfId="17" applyNumberFormat="1" applyFont="1" applyFill="1" applyAlignment="1">
      <alignment/>
    </xf>
    <xf numFmtId="3" fontId="8" fillId="0" borderId="1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71" fontId="8" fillId="0" borderId="0" xfId="0" applyNumberFormat="1" applyFont="1" applyFill="1" applyBorder="1" applyAlignment="1">
      <alignment/>
    </xf>
    <xf numFmtId="171" fontId="8" fillId="0" borderId="0" xfId="17" applyNumberFormat="1" applyFont="1" applyFill="1" applyBorder="1" applyAlignment="1">
      <alignment/>
    </xf>
    <xf numFmtId="9" fontId="5" fillId="0" borderId="0" xfId="21" applyFont="1" applyFill="1" applyAlignment="1">
      <alignment/>
    </xf>
    <xf numFmtId="10" fontId="5" fillId="0" borderId="0" xfId="21" applyNumberFormat="1" applyFont="1" applyFill="1" applyAlignment="1">
      <alignment/>
    </xf>
    <xf numFmtId="44" fontId="5" fillId="0" borderId="0" xfId="17" applyFont="1" applyFill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indent="1"/>
    </xf>
    <xf numFmtId="179" fontId="5" fillId="0" borderId="0" xfId="15" applyNumberFormat="1" applyFont="1" applyFill="1" applyBorder="1" applyAlignment="1">
      <alignment/>
    </xf>
    <xf numFmtId="9" fontId="5" fillId="0" borderId="0" xfId="2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5" fillId="0" borderId="0" xfId="21" applyFont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9" fontId="5" fillId="0" borderId="0" xfId="2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4" fontId="5" fillId="0" borderId="0" xfId="17" applyFont="1" applyFill="1" applyBorder="1" applyAlignment="1">
      <alignment/>
    </xf>
    <xf numFmtId="44" fontId="5" fillId="0" borderId="0" xfId="17" applyFont="1" applyFill="1" applyBorder="1" applyAlignment="1">
      <alignment horizontal="left" indent="1"/>
    </xf>
    <xf numFmtId="10" fontId="5" fillId="0" borderId="0" xfId="21" applyNumberFormat="1" applyFont="1" applyFill="1" applyBorder="1" applyAlignment="1">
      <alignment horizontal="left" vertical="top" wrapText="1" indent="1"/>
    </xf>
    <xf numFmtId="10" fontId="5" fillId="0" borderId="0" xfId="21" applyNumberFormat="1" applyFont="1" applyFill="1" applyBorder="1" applyAlignment="1">
      <alignment horizontal="right"/>
    </xf>
    <xf numFmtId="10" fontId="5" fillId="0" borderId="0" xfId="21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171" fontId="12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left" vertical="top" indent="1"/>
    </xf>
    <xf numFmtId="10" fontId="5" fillId="0" borderId="0" xfId="21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 vertical="top"/>
    </xf>
    <xf numFmtId="41" fontId="8" fillId="0" borderId="0" xfId="0" applyNumberFormat="1" applyFont="1" applyFill="1" applyBorder="1" applyAlignment="1">
      <alignment horizontal="left" vertical="top"/>
    </xf>
    <xf numFmtId="41" fontId="5" fillId="0" borderId="0" xfId="0" applyNumberFormat="1" applyFont="1" applyFill="1" applyBorder="1" applyAlignment="1">
      <alignment horizontal="left" vertical="top" indent="1"/>
    </xf>
    <xf numFmtId="44" fontId="5" fillId="0" borderId="0" xfId="17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71" fontId="5" fillId="0" borderId="0" xfId="17" applyNumberFormat="1" applyFont="1" applyFill="1" applyBorder="1" applyAlignment="1">
      <alignment horizontal="left" indent="1"/>
    </xf>
    <xf numFmtId="9" fontId="5" fillId="2" borderId="0" xfId="2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9" fontId="5" fillId="2" borderId="0" xfId="2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/>
    </xf>
    <xf numFmtId="179" fontId="5" fillId="2" borderId="0" xfId="15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43" fontId="5" fillId="0" borderId="0" xfId="15" applyFont="1" applyFill="1" applyBorder="1" applyAlignment="1">
      <alignment horizontal="left"/>
    </xf>
    <xf numFmtId="43" fontId="5" fillId="0" borderId="0" xfId="15" applyFont="1" applyFill="1" applyBorder="1" applyAlignment="1">
      <alignment/>
    </xf>
    <xf numFmtId="171" fontId="0" fillId="0" borderId="0" xfId="17" applyNumberFormat="1" applyFont="1" applyAlignment="1">
      <alignment/>
    </xf>
    <xf numFmtId="179" fontId="5" fillId="0" borderId="0" xfId="15" applyNumberFormat="1" applyFont="1" applyFill="1" applyBorder="1" applyAlignment="1">
      <alignment horizontal="left"/>
    </xf>
    <xf numFmtId="182" fontId="0" fillId="0" borderId="0" xfId="17" applyNumberFormat="1" applyFont="1" applyAlignment="1">
      <alignment horizontal="right" indent="1"/>
    </xf>
    <xf numFmtId="43" fontId="8" fillId="0" borderId="0" xfId="15" applyFont="1" applyFill="1" applyBorder="1" applyAlignment="1">
      <alignment horizontal="center"/>
    </xf>
    <xf numFmtId="182" fontId="8" fillId="0" borderId="0" xfId="17" applyNumberFormat="1" applyFont="1" applyAlignment="1">
      <alignment/>
    </xf>
    <xf numFmtId="171" fontId="5" fillId="0" borderId="0" xfId="17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10" fontId="5" fillId="2" borderId="0" xfId="2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44" fontId="5" fillId="2" borderId="0" xfId="17" applyFont="1" applyFill="1" applyBorder="1" applyAlignment="1">
      <alignment/>
    </xf>
    <xf numFmtId="44" fontId="5" fillId="2" borderId="0" xfId="17" applyFont="1" applyFill="1" applyBorder="1" applyAlignment="1">
      <alignment horizontal="right"/>
    </xf>
    <xf numFmtId="10" fontId="5" fillId="2" borderId="0" xfId="21" applyNumberFormat="1" applyFont="1" applyFill="1" applyBorder="1" applyAlignment="1">
      <alignment horizontal="right"/>
    </xf>
    <xf numFmtId="9" fontId="5" fillId="2" borderId="0" xfId="21" applyFont="1" applyFill="1" applyBorder="1" applyAlignment="1">
      <alignment horizontal="center"/>
    </xf>
    <xf numFmtId="10" fontId="5" fillId="2" borderId="0" xfId="21" applyNumberFormat="1" applyFont="1" applyFill="1" applyBorder="1" applyAlignment="1">
      <alignment/>
    </xf>
    <xf numFmtId="179" fontId="5" fillId="2" borderId="0" xfId="15" applyNumberFormat="1" applyFont="1" applyFill="1" applyBorder="1" applyAlignment="1">
      <alignment/>
    </xf>
    <xf numFmtId="44" fontId="5" fillId="2" borderId="0" xfId="17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5" fillId="0" borderId="0" xfId="17" applyNumberFormat="1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7" xfId="0" applyFont="1" applyBorder="1" applyAlignment="1">
      <alignment/>
    </xf>
    <xf numFmtId="9" fontId="5" fillId="2" borderId="8" xfId="21" applyFont="1" applyFill="1" applyBorder="1" applyAlignment="1">
      <alignment/>
    </xf>
    <xf numFmtId="9" fontId="5" fillId="2" borderId="9" xfId="21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2" borderId="14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171" fontId="5" fillId="2" borderId="14" xfId="17" applyNumberFormat="1" applyFont="1" applyFill="1" applyBorder="1" applyAlignment="1">
      <alignment/>
    </xf>
    <xf numFmtId="171" fontId="5" fillId="0" borderId="14" xfId="17" applyNumberFormat="1" applyFont="1" applyBorder="1" applyAlignment="1">
      <alignment/>
    </xf>
    <xf numFmtId="17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71" fontId="5" fillId="0" borderId="14" xfId="17" applyNumberFormat="1" applyFont="1" applyBorder="1" applyAlignment="1">
      <alignment/>
    </xf>
    <xf numFmtId="171" fontId="5" fillId="0" borderId="15" xfId="17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71" fontId="5" fillId="0" borderId="0" xfId="17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171" fontId="5" fillId="0" borderId="17" xfId="17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17" applyNumberFormat="1" applyFont="1" applyFill="1" applyBorder="1" applyAlignment="1">
      <alignment/>
    </xf>
    <xf numFmtId="171" fontId="5" fillId="0" borderId="17" xfId="17" applyNumberFormat="1" applyFont="1" applyFill="1" applyBorder="1" applyAlignment="1">
      <alignment/>
    </xf>
    <xf numFmtId="171" fontId="5" fillId="0" borderId="17" xfId="17" applyNumberFormat="1" applyFont="1" applyBorder="1" applyAlignment="1">
      <alignment/>
    </xf>
    <xf numFmtId="0" fontId="5" fillId="5" borderId="0" xfId="0" applyFont="1" applyFill="1" applyBorder="1" applyAlignment="1">
      <alignment/>
    </xf>
    <xf numFmtId="171" fontId="5" fillId="2" borderId="0" xfId="17" applyNumberFormat="1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171" fontId="5" fillId="3" borderId="19" xfId="17" applyNumberFormat="1" applyFont="1" applyFill="1" applyBorder="1" applyAlignment="1">
      <alignment/>
    </xf>
    <xf numFmtId="171" fontId="5" fillId="3" borderId="19" xfId="17" applyNumberFormat="1" applyFont="1" applyFill="1" applyBorder="1" applyAlignment="1">
      <alignment horizontal="left" indent="1"/>
    </xf>
    <xf numFmtId="171" fontId="5" fillId="3" borderId="19" xfId="0" applyNumberFormat="1" applyFont="1" applyFill="1" applyBorder="1" applyAlignment="1">
      <alignment/>
    </xf>
    <xf numFmtId="171" fontId="5" fillId="3" borderId="20" xfId="17" applyNumberFormat="1" applyFont="1" applyFill="1" applyBorder="1" applyAlignment="1">
      <alignment/>
    </xf>
    <xf numFmtId="171" fontId="5" fillId="3" borderId="21" xfId="17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3" xfId="17" applyNumberFormat="1" applyFont="1" applyFill="1" applyBorder="1" applyAlignment="1">
      <alignment/>
    </xf>
    <xf numFmtId="171" fontId="5" fillId="0" borderId="17" xfId="17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5" borderId="24" xfId="0" applyFont="1" applyFill="1" applyBorder="1" applyAlignment="1">
      <alignment/>
    </xf>
    <xf numFmtId="171" fontId="5" fillId="0" borderId="24" xfId="17" applyNumberFormat="1" applyFont="1" applyBorder="1" applyAlignment="1">
      <alignment/>
    </xf>
    <xf numFmtId="171" fontId="5" fillId="0" borderId="24" xfId="0" applyNumberFormat="1" applyFont="1" applyBorder="1" applyAlignment="1">
      <alignment/>
    </xf>
    <xf numFmtId="171" fontId="5" fillId="0" borderId="25" xfId="17" applyNumberFormat="1" applyFont="1" applyBorder="1" applyAlignment="1">
      <alignment/>
    </xf>
    <xf numFmtId="171" fontId="5" fillId="0" borderId="26" xfId="17" applyNumberFormat="1" applyFont="1" applyBorder="1" applyAlignment="1">
      <alignment/>
    </xf>
    <xf numFmtId="0" fontId="8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5" borderId="29" xfId="0" applyFont="1" applyFill="1" applyBorder="1" applyAlignment="1">
      <alignment/>
    </xf>
    <xf numFmtId="171" fontId="5" fillId="0" borderId="29" xfId="17" applyNumberFormat="1" applyFont="1" applyBorder="1" applyAlignment="1">
      <alignment/>
    </xf>
    <xf numFmtId="171" fontId="5" fillId="0" borderId="29" xfId="0" applyNumberFormat="1" applyFont="1" applyBorder="1" applyAlignment="1">
      <alignment/>
    </xf>
    <xf numFmtId="171" fontId="5" fillId="5" borderId="29" xfId="0" applyNumberFormat="1" applyFont="1" applyFill="1" applyBorder="1" applyAlignment="1">
      <alignment/>
    </xf>
    <xf numFmtId="171" fontId="5" fillId="0" borderId="30" xfId="0" applyNumberFormat="1" applyFont="1" applyBorder="1" applyAlignment="1">
      <alignment/>
    </xf>
    <xf numFmtId="171" fontId="5" fillId="0" borderId="31" xfId="0" applyNumberFormat="1" applyFont="1" applyBorder="1" applyAlignment="1">
      <alignment/>
    </xf>
    <xf numFmtId="179" fontId="1" fillId="0" borderId="0" xfId="0" applyNumberFormat="1" applyFont="1" applyBorder="1" applyAlignment="1">
      <alignment horizontal="left"/>
    </xf>
    <xf numFmtId="179" fontId="13" fillId="0" borderId="0" xfId="0" applyNumberFormat="1" applyFont="1" applyBorder="1" applyAlignment="1">
      <alignment horizontal="left"/>
    </xf>
    <xf numFmtId="3" fontId="0" fillId="0" borderId="0" xfId="15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 applyProtection="1">
      <alignment horizontal="left" indent="1"/>
      <protection locked="0"/>
    </xf>
    <xf numFmtId="0" fontId="8" fillId="3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27" xfId="0" applyFont="1" applyFill="1" applyBorder="1" applyAlignment="1">
      <alignment/>
    </xf>
    <xf numFmtId="10" fontId="5" fillId="0" borderId="0" xfId="21" applyNumberFormat="1" applyFont="1" applyAlignment="1">
      <alignment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Fill="1" applyBorder="1" applyAlignment="1">
      <alignment/>
    </xf>
    <xf numFmtId="179" fontId="5" fillId="0" borderId="0" xfId="15" applyNumberFormat="1" applyFont="1" applyFill="1" applyBorder="1" applyAlignment="1">
      <alignment horizontal="right"/>
    </xf>
    <xf numFmtId="179" fontId="5" fillId="0" borderId="0" xfId="15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179" fontId="5" fillId="2" borderId="0" xfId="15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171" fontId="8" fillId="0" borderId="0" xfId="0" applyNumberFormat="1" applyFont="1" applyAlignment="1">
      <alignment/>
    </xf>
    <xf numFmtId="0" fontId="5" fillId="6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eldfellow\Local%20Settings\Temporary%20Internet%20Files\Content.IE5\OPEB816N\Class\Loan%20calculator-Amortiz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Inventory Assumptions"/>
      <sheetName val="YEAR 1"/>
      <sheetName val="5-YR PLAN"/>
      <sheetName val="Loan Repayment"/>
      <sheetName val="Assumptions"/>
      <sheetName val="Working sheet - Inventory"/>
      <sheetName val="Cash flow - Year 1"/>
      <sheetName val="Annual cash flow"/>
      <sheetName val="Charts"/>
    </sheetNames>
    <sheetDataSet>
      <sheetData sheetId="0">
        <row r="4">
          <cell r="D4">
            <v>50000</v>
          </cell>
        </row>
        <row r="5">
          <cell r="D5">
            <v>0.07</v>
          </cell>
        </row>
        <row r="6">
          <cell r="D6">
            <v>7</v>
          </cell>
        </row>
        <row r="7">
          <cell r="D7">
            <v>38231</v>
          </cell>
        </row>
        <row r="17">
          <cell r="A17" t="str">
            <v>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</row>
        <row r="18">
          <cell r="I18">
            <v>49537.0326675572</v>
          </cell>
        </row>
        <row r="19">
          <cell r="I19">
            <v>49071.36469234181</v>
          </cell>
        </row>
        <row r="20">
          <cell r="I20">
            <v>48602.980320604336</v>
          </cell>
        </row>
        <row r="21">
          <cell r="I21">
            <v>48131.863706698394</v>
          </cell>
        </row>
        <row r="22">
          <cell r="I22">
            <v>47657.99891254467</v>
          </cell>
        </row>
        <row r="23">
          <cell r="I23">
            <v>47181.36990709171</v>
          </cell>
        </row>
        <row r="24">
          <cell r="I24">
            <v>46701.96056577361</v>
          </cell>
        </row>
        <row r="25">
          <cell r="I25">
            <v>46219.75466996449</v>
          </cell>
        </row>
        <row r="26">
          <cell r="I26">
            <v>45734.735906429814</v>
          </cell>
        </row>
        <row r="27">
          <cell r="I27">
            <v>45246.88786677452</v>
          </cell>
        </row>
        <row r="28">
          <cell r="I28">
            <v>44756.194046887904</v>
          </cell>
        </row>
        <row r="29">
          <cell r="I29">
            <v>44262.63784638528</v>
          </cell>
        </row>
        <row r="30">
          <cell r="I30">
            <v>43766.20256804639</v>
          </cell>
        </row>
        <row r="31">
          <cell r="I31">
            <v>43266.87141725053</v>
          </cell>
        </row>
        <row r="32">
          <cell r="I32">
            <v>42764.62750140835</v>
          </cell>
        </row>
        <row r="33">
          <cell r="I33">
            <v>42259.45382939043</v>
          </cell>
        </row>
        <row r="34">
          <cell r="I34">
            <v>41751.33331095241</v>
          </cell>
        </row>
        <row r="35">
          <cell r="I35">
            <v>41240.248756156834</v>
          </cell>
        </row>
        <row r="36">
          <cell r="I36">
            <v>40726.182874791615</v>
          </cell>
        </row>
        <row r="37">
          <cell r="I37">
            <v>40209.1182757851</v>
          </cell>
        </row>
        <row r="38">
          <cell r="I38">
            <v>39689.03746661771</v>
          </cell>
        </row>
        <row r="39">
          <cell r="I39">
            <v>39165.922852730175</v>
          </cell>
        </row>
        <row r="40">
          <cell r="I40">
            <v>38639.7567369283</v>
          </cell>
        </row>
        <row r="41">
          <cell r="I41">
            <v>38110.521318784246</v>
          </cell>
        </row>
        <row r="42">
          <cell r="I42">
            <v>37578.198694034356</v>
          </cell>
        </row>
        <row r="43">
          <cell r="I43">
            <v>37042.77085397342</v>
          </cell>
        </row>
        <row r="44">
          <cell r="I44">
            <v>36504.21968484547</v>
          </cell>
        </row>
        <row r="45">
          <cell r="I45">
            <v>35962.52696723094</v>
          </cell>
        </row>
        <row r="46">
          <cell r="I46">
            <v>35417.67437543032</v>
          </cell>
        </row>
        <row r="47">
          <cell r="I47">
            <v>34869.64347684419</v>
          </cell>
        </row>
        <row r="48">
          <cell r="I48">
            <v>34318.41573134965</v>
          </cell>
        </row>
        <row r="49">
          <cell r="I49">
            <v>33763.972490673055</v>
          </cell>
        </row>
        <row r="50">
          <cell r="I50">
            <v>33206.29499775918</v>
          </cell>
        </row>
        <row r="51">
          <cell r="I51">
            <v>32645.36438613664</v>
          </cell>
        </row>
        <row r="52">
          <cell r="I52">
            <v>32081.161679279634</v>
          </cell>
        </row>
        <row r="53">
          <cell r="I53">
            <v>31513.667789965963</v>
          </cell>
        </row>
        <row r="54">
          <cell r="I54">
            <v>30942.863519631297</v>
          </cell>
        </row>
        <row r="55">
          <cell r="I55">
            <v>30368.72955771968</v>
          </cell>
        </row>
        <row r="56">
          <cell r="I56">
            <v>29791.24648103024</v>
          </cell>
        </row>
        <row r="57">
          <cell r="I57">
            <v>29210.394753060114</v>
          </cell>
        </row>
        <row r="58">
          <cell r="I58">
            <v>28626.154723343498</v>
          </cell>
        </row>
        <row r="59">
          <cell r="I59">
            <v>28038.506626786868</v>
          </cell>
        </row>
        <row r="60">
          <cell r="I60">
            <v>27447.430583000325</v>
          </cell>
        </row>
        <row r="61">
          <cell r="I61">
            <v>26852.906595625027</v>
          </cell>
        </row>
        <row r="62">
          <cell r="I62">
            <v>26254.914551656704</v>
          </cell>
        </row>
        <row r="63">
          <cell r="I63">
            <v>25653.434220765233</v>
          </cell>
        </row>
        <row r="64">
          <cell r="I64">
            <v>25048.44525461023</v>
          </cell>
        </row>
        <row r="65">
          <cell r="I65">
            <v>24439.927186152654</v>
          </cell>
        </row>
        <row r="66">
          <cell r="I66">
            <v>23827.85942896241</v>
          </cell>
        </row>
        <row r="67">
          <cell r="I67">
            <v>23212.221276521886</v>
          </cell>
        </row>
        <row r="68">
          <cell r="I68">
            <v>22592.991901525464</v>
          </cell>
        </row>
        <row r="69">
          <cell r="I69">
            <v>21970.150355174894</v>
          </cell>
        </row>
        <row r="70">
          <cell r="I70">
            <v>21343.675566470614</v>
          </cell>
        </row>
        <row r="71">
          <cell r="I71">
            <v>20713.54634149889</v>
          </cell>
        </row>
        <row r="72">
          <cell r="I72">
            <v>20079.741362714834</v>
          </cell>
        </row>
        <row r="73">
          <cell r="I73">
            <v>19442.239188221203</v>
          </cell>
        </row>
        <row r="74">
          <cell r="I74">
            <v>18801.018251043024</v>
          </cell>
        </row>
        <row r="75">
          <cell r="I75">
            <v>18156.056858397973</v>
          </cell>
        </row>
        <row r="76">
          <cell r="I76">
            <v>17507.333190962494</v>
          </cell>
        </row>
        <row r="77">
          <cell r="I77">
            <v>16854.825302133642</v>
          </cell>
        </row>
        <row r="78">
          <cell r="I78">
            <v>16198.51111728662</v>
          </cell>
        </row>
        <row r="79">
          <cell r="I79">
            <v>15538.36843302799</v>
          </cell>
        </row>
        <row r="80">
          <cell r="I80">
            <v>14874.374916444518</v>
          </cell>
        </row>
        <row r="81">
          <cell r="I81">
            <v>14206.508104347644</v>
          </cell>
        </row>
        <row r="82">
          <cell r="I82">
            <v>13534.745402513538</v>
          </cell>
        </row>
        <row r="83">
          <cell r="I83">
            <v>12859.064084918731</v>
          </cell>
        </row>
        <row r="84">
          <cell r="I84">
            <v>12179.441292971289</v>
          </cell>
        </row>
        <row r="85">
          <cell r="I85">
            <v>11495.854034737487</v>
          </cell>
        </row>
        <row r="86">
          <cell r="I86">
            <v>10808.279184163988</v>
          </cell>
        </row>
        <row r="87">
          <cell r="I87">
            <v>10116.693480295477</v>
          </cell>
        </row>
        <row r="88">
          <cell r="I88">
            <v>9421.073526487733</v>
          </cell>
        </row>
        <row r="89">
          <cell r="I89">
            <v>8721.39578961611</v>
          </cell>
        </row>
        <row r="90">
          <cell r="I90">
            <v>8017.636599279403</v>
          </cell>
        </row>
        <row r="91">
          <cell r="I91">
            <v>7309.772146999065</v>
          </cell>
        </row>
        <row r="92">
          <cell r="I92">
            <v>6597.778485413758</v>
          </cell>
        </row>
        <row r="93">
          <cell r="I93">
            <v>5881.631527469204</v>
          </cell>
        </row>
        <row r="94">
          <cell r="I94">
            <v>5161.3070456033065</v>
          </cell>
        </row>
        <row r="95">
          <cell r="I95">
            <v>4436.780670926524</v>
          </cell>
        </row>
        <row r="96">
          <cell r="I96">
            <v>3708.027892397461</v>
          </cell>
        </row>
        <row r="97">
          <cell r="I97">
            <v>2975.024055993645</v>
          </cell>
        </row>
        <row r="98">
          <cell r="I98">
            <v>2237.7443638774735</v>
          </cell>
        </row>
        <row r="99">
          <cell r="I99">
            <v>1496.1638735572908</v>
          </cell>
        </row>
        <row r="100">
          <cell r="I100">
            <v>750.2574970435737</v>
          </cell>
        </row>
        <row r="101">
          <cell r="I101">
            <v>1.9326762412674725E-10</v>
          </cell>
        </row>
        <row r="102">
          <cell r="I102">
            <v>-754.6339991092735</v>
          </cell>
        </row>
        <row r="103">
          <cell r="I103">
            <v>-1513.6700298802123</v>
          </cell>
        </row>
        <row r="104">
          <cell r="I104">
            <v>-2277.1337708306482</v>
          </cell>
        </row>
        <row r="105">
          <cell r="I105">
            <v>-3045.0510502699617</v>
          </cell>
        </row>
        <row r="106">
          <cell r="I106">
            <v>-3817.447847172671</v>
          </cell>
        </row>
        <row r="107">
          <cell r="I107">
            <v>-4594.350292057313</v>
          </cell>
        </row>
        <row r="108">
          <cell r="I108">
            <v>-5375.784667870448</v>
          </cell>
        </row>
        <row r="109">
          <cell r="I109">
            <v>-6161.777410875827</v>
          </cell>
        </row>
        <row r="110">
          <cell r="I110">
            <v>-6952.355111548737</v>
          </cell>
        </row>
        <row r="111">
          <cell r="I111">
            <v>-7747.544515475573</v>
          </cell>
        </row>
        <row r="112">
          <cell r="I112">
            <v>-8547.372524258648</v>
          </cell>
        </row>
        <row r="113">
          <cell r="I113">
            <v>-9351.866196426292</v>
          </cell>
        </row>
        <row r="114">
          <cell r="I114">
            <v>-10161.052748348247</v>
          </cell>
        </row>
        <row r="115">
          <cell r="I115">
            <v>-10974.959555156413</v>
          </cell>
        </row>
        <row r="116">
          <cell r="I116">
            <v>-11793.61415167096</v>
          </cell>
        </row>
        <row r="117">
          <cell r="I117">
            <v>-12617.04423333184</v>
          </cell>
        </row>
        <row r="118">
          <cell r="I118">
            <v>-13445.277657135744</v>
          </cell>
        </row>
        <row r="119">
          <cell r="I119">
            <v>-14278.342442578505</v>
          </cell>
        </row>
        <row r="120">
          <cell r="I120">
            <v>-15116.266772603014</v>
          </cell>
        </row>
        <row r="121">
          <cell r="I121">
            <v>-15959.078994552667</v>
          </cell>
        </row>
        <row r="122">
          <cell r="I122">
            <v>-16806.80762113036</v>
          </cell>
        </row>
        <row r="123">
          <cell r="I123">
            <v>-17659.481331363088</v>
          </cell>
        </row>
        <row r="124">
          <cell r="I124">
            <v>-18517.128971572172</v>
          </cell>
        </row>
        <row r="125">
          <cell r="I125">
            <v>-19379.779556349145</v>
          </cell>
        </row>
        <row r="126">
          <cell r="I126">
            <v>-20247.46226953732</v>
          </cell>
        </row>
        <row r="127">
          <cell r="I127">
            <v>-21120.206465219086</v>
          </cell>
        </row>
        <row r="128">
          <cell r="I128">
            <v>-21998.041668708996</v>
          </cell>
        </row>
        <row r="129">
          <cell r="I129">
            <v>-22880.9975775526</v>
          </cell>
        </row>
        <row r="130">
          <cell r="I130">
            <v>-23769.104062531125</v>
          </cell>
        </row>
        <row r="131">
          <cell r="I131">
            <v>-24662.391168672024</v>
          </cell>
        </row>
        <row r="132">
          <cell r="I132">
            <v>-25560.88911626541</v>
          </cell>
        </row>
        <row r="133">
          <cell r="I133">
            <v>-26464.628301886427</v>
          </cell>
        </row>
        <row r="134">
          <cell r="I134">
            <v>-27373.639299423565</v>
          </cell>
        </row>
        <row r="135">
          <cell r="I135">
            <v>-28287.952861113004</v>
          </cell>
        </row>
        <row r="136">
          <cell r="I136">
            <v>-29207.599918578966</v>
          </cell>
        </row>
        <row r="137">
          <cell r="I137">
            <v>-30132.611583880145</v>
          </cell>
        </row>
        <row r="138">
          <cell r="I138">
            <v>-31063.019150562246</v>
          </cell>
        </row>
        <row r="139">
          <cell r="I139">
            <v>-31998.854094716662</v>
          </cell>
        </row>
        <row r="140">
          <cell r="I140">
            <v>-32940.14807604531</v>
          </cell>
        </row>
        <row r="141">
          <cell r="I141">
            <v>-33886.93293893171</v>
          </cell>
        </row>
        <row r="142">
          <cell r="I142">
            <v>-34839.24071351828</v>
          </cell>
        </row>
        <row r="143">
          <cell r="I143">
            <v>-35797.10361678994</v>
          </cell>
        </row>
        <row r="144">
          <cell r="I144">
            <v>-36760.55405366401</v>
          </cell>
        </row>
        <row r="145">
          <cell r="I145">
            <v>-37729.62461808652</v>
          </cell>
        </row>
        <row r="146">
          <cell r="I146">
            <v>-38704.348094134824</v>
          </cell>
        </row>
        <row r="147">
          <cell r="I147">
            <v>-39684.75745712675</v>
          </cell>
        </row>
        <row r="148">
          <cell r="I148">
            <v>-40670.88587473612</v>
          </cell>
        </row>
        <row r="149">
          <cell r="I149">
            <v>-41662.76670811488</v>
          </cell>
        </row>
        <row r="150">
          <cell r="I150">
            <v>-42660.433513021686</v>
          </cell>
        </row>
        <row r="151">
          <cell r="I151">
            <v>-43663.92004095711</v>
          </cell>
        </row>
        <row r="152">
          <cell r="I152">
            <v>-44673.2602403055</v>
          </cell>
        </row>
        <row r="153">
          <cell r="I153">
            <v>-45688.48825748342</v>
          </cell>
        </row>
        <row r="154">
          <cell r="I154">
            <v>-46709.63843809487</v>
          </cell>
        </row>
        <row r="155">
          <cell r="I155">
            <v>-47736.745328093224</v>
          </cell>
        </row>
        <row r="156">
          <cell r="I156">
            <v>-48769.8436749499</v>
          </cell>
        </row>
        <row r="157">
          <cell r="I157">
            <v>-49808.96842882991</v>
          </cell>
        </row>
        <row r="158">
          <cell r="I158">
            <v>-50854.15474377422</v>
          </cell>
        </row>
        <row r="159">
          <cell r="I159">
            <v>-51905.43797888904</v>
          </cell>
        </row>
        <row r="160">
          <cell r="I160">
            <v>-52962.85369954202</v>
          </cell>
        </row>
        <row r="161">
          <cell r="I161">
            <v>-54026.43767856548</v>
          </cell>
        </row>
        <row r="162">
          <cell r="I162">
            <v>-55096.22589746658</v>
          </cell>
        </row>
        <row r="163">
          <cell r="I163">
            <v>-56172.2545476446</v>
          </cell>
        </row>
        <row r="164">
          <cell r="I164">
            <v>-57254.56003161533</v>
          </cell>
        </row>
        <row r="165">
          <cell r="I165">
            <v>-58343.17896424255</v>
          </cell>
        </row>
        <row r="166">
          <cell r="I166">
            <v>-59438.14817397677</v>
          </cell>
        </row>
        <row r="167">
          <cell r="I167">
            <v>-60539.5047041011</v>
          </cell>
        </row>
        <row r="168">
          <cell r="I168">
            <v>-61647.28581398449</v>
          </cell>
        </row>
        <row r="169">
          <cell r="I169">
            <v>-62761.5289803422</v>
          </cell>
        </row>
        <row r="170">
          <cell r="I170">
            <v>-63882.27189850366</v>
          </cell>
        </row>
        <row r="171">
          <cell r="I171">
            <v>-65009.55248368774</v>
          </cell>
        </row>
        <row r="172">
          <cell r="I172">
            <v>-66143.40887228538</v>
          </cell>
        </row>
        <row r="173">
          <cell r="I173">
            <v>-67283.87942314985</v>
          </cell>
        </row>
        <row r="174">
          <cell r="I174">
            <v>-68431.00271889435</v>
          </cell>
        </row>
        <row r="175">
          <cell r="I175">
            <v>-69584.81756719737</v>
          </cell>
        </row>
        <row r="176">
          <cell r="I176">
            <v>-70745.3630021155</v>
          </cell>
        </row>
        <row r="177">
          <cell r="I177">
            <v>-71912.67828540398</v>
          </cell>
        </row>
        <row r="178">
          <cell r="I178">
            <v>-73086.80290784496</v>
          </cell>
        </row>
        <row r="179">
          <cell r="I179">
            <v>-74267.77659058353</v>
          </cell>
        </row>
        <row r="180">
          <cell r="I180">
            <v>-75455.6392864714</v>
          </cell>
        </row>
        <row r="181">
          <cell r="I181">
            <v>-76650.43118141862</v>
          </cell>
        </row>
        <row r="182">
          <cell r="I182">
            <v>-77852.19269575304</v>
          </cell>
        </row>
        <row r="183">
          <cell r="I183">
            <v>-79060.96448558773</v>
          </cell>
        </row>
        <row r="184">
          <cell r="I184">
            <v>-80276.78744419645</v>
          </cell>
        </row>
        <row r="185">
          <cell r="I185">
            <v>-81499.70270339707</v>
          </cell>
        </row>
        <row r="186">
          <cell r="I186">
            <v>-82729.75163494302</v>
          </cell>
        </row>
        <row r="187">
          <cell r="I187">
            <v>-83966.975851923</v>
          </cell>
        </row>
        <row r="188">
          <cell r="I188">
            <v>-85211.41721016869</v>
          </cell>
        </row>
        <row r="189">
          <cell r="I189">
            <v>-86463.1178096708</v>
          </cell>
        </row>
        <row r="190">
          <cell r="I190">
            <v>-87722.11999600336</v>
          </cell>
        </row>
        <row r="191">
          <cell r="I191">
            <v>-88988.46636175617</v>
          </cell>
        </row>
        <row r="192">
          <cell r="I192">
            <v>-90262.19974797589</v>
          </cell>
        </row>
        <row r="193">
          <cell r="I193">
            <v>-91543.36324561521</v>
          </cell>
        </row>
        <row r="194">
          <cell r="I194">
            <v>-92832.00019699078</v>
          </cell>
        </row>
        <row r="195">
          <cell r="I195">
            <v>-94128.15419724936</v>
          </cell>
        </row>
        <row r="196">
          <cell r="I196">
            <v>-95431.86909584278</v>
          </cell>
        </row>
        <row r="197">
          <cell r="I197">
            <v>-96743.18899801133</v>
          </cell>
        </row>
        <row r="198">
          <cell r="I198">
            <v>-98062.15826627587</v>
          </cell>
        </row>
        <row r="199">
          <cell r="I199">
            <v>-99388.82152193862</v>
          </cell>
        </row>
        <row r="200">
          <cell r="I200">
            <v>-100723.22364659273</v>
          </cell>
        </row>
        <row r="201">
          <cell r="I201">
            <v>-102065.40978364066</v>
          </cell>
        </row>
        <row r="202">
          <cell r="I202">
            <v>-103415.42533982136</v>
          </cell>
        </row>
        <row r="203">
          <cell r="I203">
            <v>-104773.31598674646</v>
          </cell>
        </row>
        <row r="204">
          <cell r="I204">
            <v>-106139.12766244527</v>
          </cell>
        </row>
        <row r="205">
          <cell r="I205">
            <v>-107512.906572919</v>
          </cell>
        </row>
        <row r="206">
          <cell r="I206">
            <v>-108894.69919370384</v>
          </cell>
        </row>
        <row r="207">
          <cell r="I207">
            <v>-110284.55227144324</v>
          </cell>
        </row>
        <row r="208">
          <cell r="I208">
            <v>-111682.51282546947</v>
          </cell>
        </row>
        <row r="209">
          <cell r="I209">
            <v>-113088.62814939418</v>
          </cell>
        </row>
        <row r="210">
          <cell r="I210">
            <v>-114502.94581270845</v>
          </cell>
        </row>
        <row r="211">
          <cell r="I211">
            <v>-115925.51366239206</v>
          </cell>
        </row>
        <row r="212">
          <cell r="I212">
            <v>-117356.37982453214</v>
          </cell>
        </row>
        <row r="213">
          <cell r="I213">
            <v>-118795.59270595138</v>
          </cell>
        </row>
        <row r="214">
          <cell r="I214">
            <v>-120243.20099584556</v>
          </cell>
        </row>
        <row r="215">
          <cell r="I215">
            <v>-121699.25366743079</v>
          </cell>
        </row>
        <row r="216">
          <cell r="I216">
            <v>-123163.79997960027</v>
          </cell>
        </row>
        <row r="217">
          <cell r="I217">
            <v>-124636.88947859073</v>
          </cell>
        </row>
        <row r="218">
          <cell r="I218">
            <v>-126118.57199965864</v>
          </cell>
        </row>
        <row r="219">
          <cell r="I219">
            <v>-127608.89766876612</v>
          </cell>
        </row>
        <row r="220">
          <cell r="I220">
            <v>-129107.91690427672</v>
          </cell>
        </row>
        <row r="221">
          <cell r="I221">
            <v>-130615.68041866113</v>
          </cell>
        </row>
        <row r="222">
          <cell r="I222">
            <v>-132132.2392202128</v>
          </cell>
        </row>
        <row r="223">
          <cell r="I223">
            <v>-133657.6446147735</v>
          </cell>
        </row>
        <row r="224">
          <cell r="I224">
            <v>-135191.94820746916</v>
          </cell>
        </row>
        <row r="225">
          <cell r="I225">
            <v>-136735.20190445552</v>
          </cell>
        </row>
        <row r="226">
          <cell r="I226">
            <v>-138287.4579146743</v>
          </cell>
        </row>
        <row r="227">
          <cell r="I227">
            <v>-139848.76875161938</v>
          </cell>
        </row>
        <row r="228">
          <cell r="I228">
            <v>-141419.1872351133</v>
          </cell>
        </row>
        <row r="229">
          <cell r="I229">
            <v>-142998.76649309424</v>
          </cell>
        </row>
        <row r="230">
          <cell r="I230">
            <v>-144587.55996341343</v>
          </cell>
        </row>
        <row r="231">
          <cell r="I231">
            <v>-146185.6213956428</v>
          </cell>
        </row>
        <row r="232">
          <cell r="I232">
            <v>-147793.00485289353</v>
          </cell>
        </row>
        <row r="233">
          <cell r="I233">
            <v>-149409.76471364486</v>
          </cell>
        </row>
        <row r="234">
          <cell r="I234">
            <v>-151035.95567358393</v>
          </cell>
        </row>
        <row r="235">
          <cell r="I235">
            <v>-152671.63274745597</v>
          </cell>
        </row>
        <row r="236">
          <cell r="I236">
            <v>-154316.8512709256</v>
          </cell>
        </row>
        <row r="237">
          <cell r="I237">
            <v>-155971.6669024488</v>
          </cell>
        </row>
        <row r="238">
          <cell r="I238">
            <v>-157636.1356251559</v>
          </cell>
        </row>
        <row r="239">
          <cell r="I239">
            <v>-159310.31374874545</v>
          </cell>
        </row>
        <row r="240">
          <cell r="I240">
            <v>-160994.25791138926</v>
          </cell>
        </row>
        <row r="241">
          <cell r="I241">
            <v>-162688.0250816485</v>
          </cell>
        </row>
        <row r="242">
          <cell r="I242">
            <v>-164391.6725604009</v>
          </cell>
        </row>
        <row r="243">
          <cell r="I243">
            <v>-166105.25798277938</v>
          </cell>
        </row>
        <row r="244">
          <cell r="I244">
            <v>-167828.83932012174</v>
          </cell>
        </row>
        <row r="245">
          <cell r="I245">
            <v>-169562.4748819319</v>
          </cell>
        </row>
        <row r="246">
          <cell r="I246">
            <v>-171306.22331785265</v>
          </cell>
        </row>
        <row r="247">
          <cell r="I247">
            <v>-173060.1436196496</v>
          </cell>
        </row>
        <row r="248">
          <cell r="I248">
            <v>-174824.29512320703</v>
          </cell>
        </row>
        <row r="249">
          <cell r="I249">
            <v>-176598.7375105352</v>
          </cell>
        </row>
        <row r="250">
          <cell r="I250">
            <v>-178383.53081178945</v>
          </cell>
        </row>
        <row r="251">
          <cell r="I251">
            <v>-180178.73540730102</v>
          </cell>
        </row>
        <row r="252">
          <cell r="I252">
            <v>-181984.41202961974</v>
          </cell>
        </row>
        <row r="253">
          <cell r="I253">
            <v>-183800.62176556865</v>
          </cell>
        </row>
        <row r="254">
          <cell r="I254">
            <v>-185627.4260583106</v>
          </cell>
        </row>
        <row r="255">
          <cell r="I255">
            <v>-187464.88670942688</v>
          </cell>
        </row>
        <row r="256">
          <cell r="I256">
            <v>-189313.065881008</v>
          </cell>
        </row>
        <row r="257">
          <cell r="I257">
            <v>-191172.02609775666</v>
          </cell>
        </row>
        <row r="258">
          <cell r="I258">
            <v>-193041.83024910305</v>
          </cell>
        </row>
        <row r="259">
          <cell r="I259">
            <v>-194922.5415913323</v>
          </cell>
        </row>
        <row r="260">
          <cell r="I260">
            <v>-196814.22374972454</v>
          </cell>
        </row>
        <row r="261">
          <cell r="I261">
            <v>-198716.9407207074</v>
          </cell>
        </row>
        <row r="262">
          <cell r="I262">
            <v>-200630.756874021</v>
          </cell>
        </row>
        <row r="263">
          <cell r="I263">
            <v>-202555.73695489558</v>
          </cell>
        </row>
        <row r="264">
          <cell r="I264">
            <v>-204491.94608624192</v>
          </cell>
        </row>
        <row r="265">
          <cell r="I265">
            <v>-206439.44977085447</v>
          </cell>
        </row>
        <row r="266">
          <cell r="I266">
            <v>-208398.31389362726</v>
          </cell>
        </row>
        <row r="267">
          <cell r="I267">
            <v>-210368.6047237829</v>
          </cell>
        </row>
        <row r="268">
          <cell r="I268">
            <v>-212350.3889171144</v>
          </cell>
        </row>
        <row r="269">
          <cell r="I269">
            <v>-214343.7335182404</v>
          </cell>
        </row>
        <row r="270">
          <cell r="I270">
            <v>-216348.70596287292</v>
          </cell>
        </row>
        <row r="271">
          <cell r="I271">
            <v>-218365.37408009914</v>
          </cell>
        </row>
        <row r="272">
          <cell r="I272">
            <v>-220393.80609467585</v>
          </cell>
        </row>
        <row r="273">
          <cell r="I273">
            <v>-222434.0706293376</v>
          </cell>
        </row>
        <row r="274">
          <cell r="I274">
            <v>-224486.2367071182</v>
          </cell>
        </row>
        <row r="275">
          <cell r="I275">
            <v>-226550.37375368585</v>
          </cell>
        </row>
        <row r="276">
          <cell r="I276">
            <v>-228626.55159969183</v>
          </cell>
        </row>
        <row r="277">
          <cell r="I277">
            <v>-230714.84048313284</v>
          </cell>
        </row>
        <row r="278">
          <cell r="I278">
            <v>-232815.31105172724</v>
          </cell>
        </row>
        <row r="279">
          <cell r="I279">
            <v>-234928.03436530512</v>
          </cell>
        </row>
        <row r="280">
          <cell r="I280">
            <v>-237053.0818982122</v>
          </cell>
        </row>
        <row r="281">
          <cell r="I281">
            <v>-239190.5255417279</v>
          </cell>
        </row>
        <row r="282">
          <cell r="I282">
            <v>-241340.43760649743</v>
          </cell>
        </row>
        <row r="283">
          <cell r="I283">
            <v>-243502.89082497812</v>
          </cell>
        </row>
        <row r="284">
          <cell r="I284">
            <v>-245677.95835389997</v>
          </cell>
        </row>
        <row r="285">
          <cell r="I285">
            <v>-247865.71377674054</v>
          </cell>
        </row>
        <row r="286">
          <cell r="I286">
            <v>-250066.2311062143</v>
          </cell>
        </row>
        <row r="287">
          <cell r="I287">
            <v>-252279.5847867767</v>
          </cell>
        </row>
        <row r="288">
          <cell r="I288">
            <v>-254505.84969714234</v>
          </cell>
        </row>
        <row r="289">
          <cell r="I289">
            <v>-256745.10115281848</v>
          </cell>
        </row>
        <row r="290">
          <cell r="I290">
            <v>-258997.41490865272</v>
          </cell>
        </row>
        <row r="291">
          <cell r="I291">
            <v>-261262.867161396</v>
          </cell>
        </row>
        <row r="292">
          <cell r="I292">
            <v>-263541.53455228027</v>
          </cell>
        </row>
        <row r="293">
          <cell r="I293">
            <v>-265833.49416961137</v>
          </cell>
        </row>
        <row r="294">
          <cell r="I294">
            <v>-268138.8235513769</v>
          </cell>
        </row>
        <row r="295">
          <cell r="I295">
            <v>-270457.60068786936</v>
          </cell>
        </row>
        <row r="296">
          <cell r="I296">
            <v>-272789.90402432473</v>
          </cell>
        </row>
        <row r="297">
          <cell r="I297">
            <v>-275135.8124635761</v>
          </cell>
        </row>
        <row r="298">
          <cell r="I298">
            <v>-277495.4053687231</v>
          </cell>
        </row>
        <row r="299">
          <cell r="I299">
            <v>-279868.76256581675</v>
          </cell>
        </row>
        <row r="300">
          <cell r="I300">
            <v>-282255.9643465601</v>
          </cell>
        </row>
        <row r="301">
          <cell r="I301">
            <v>-284657.09147102456</v>
          </cell>
        </row>
        <row r="302">
          <cell r="I302">
            <v>-287072.22517038166</v>
          </cell>
        </row>
        <row r="303">
          <cell r="I303">
            <v>-289501.4471496517</v>
          </cell>
        </row>
        <row r="304">
          <cell r="I304">
            <v>-291944.83959046745</v>
          </cell>
        </row>
        <row r="305">
          <cell r="I305">
            <v>-294402.48515385465</v>
          </cell>
        </row>
        <row r="306">
          <cell r="I306">
            <v>-296874.4669830283</v>
          </cell>
        </row>
        <row r="307">
          <cell r="I307">
            <v>-299360.8687062054</v>
          </cell>
        </row>
        <row r="308">
          <cell r="I308">
            <v>-301861.7744394344</v>
          </cell>
        </row>
        <row r="309">
          <cell r="I309">
            <v>-304377.26878944057</v>
          </cell>
        </row>
        <row r="310">
          <cell r="I310">
            <v>-306907.43685648846</v>
          </cell>
        </row>
        <row r="311">
          <cell r="I311">
            <v>-309452.3642372608</v>
          </cell>
        </row>
        <row r="312">
          <cell r="I312">
            <v>-312012.1370277543</v>
          </cell>
        </row>
        <row r="313">
          <cell r="I313">
            <v>-314586.84182619234</v>
          </cell>
        </row>
        <row r="314">
          <cell r="I314">
            <v>-317176.5657359546</v>
          </cell>
        </row>
        <row r="315">
          <cell r="I315">
            <v>-319781.3963685238</v>
          </cell>
        </row>
        <row r="316">
          <cell r="I316">
            <v>-322401.42184644967</v>
          </cell>
        </row>
        <row r="317">
          <cell r="I317">
            <v>-325036.7308063301</v>
          </cell>
        </row>
        <row r="318">
          <cell r="I318">
            <v>-327687.4124018098</v>
          </cell>
        </row>
        <row r="319">
          <cell r="I319">
            <v>-330353.5563065965</v>
          </cell>
        </row>
        <row r="320">
          <cell r="I320">
            <v>-333035.25271749444</v>
          </cell>
        </row>
        <row r="321">
          <cell r="I321">
            <v>-335732.592357456</v>
          </cell>
        </row>
        <row r="322">
          <cell r="I322">
            <v>-338445.6664786506</v>
          </cell>
        </row>
        <row r="323">
          <cell r="I323">
            <v>-341174.56686555216</v>
          </cell>
        </row>
        <row r="324">
          <cell r="I324">
            <v>-343919.385838044</v>
          </cell>
        </row>
        <row r="325">
          <cell r="I325">
            <v>-346680.21625454206</v>
          </cell>
        </row>
        <row r="326">
          <cell r="I326">
            <v>-349457.15151513636</v>
          </cell>
        </row>
        <row r="327">
          <cell r="I327">
            <v>-352250.2855647508</v>
          </cell>
        </row>
        <row r="328">
          <cell r="I328">
            <v>-355059.7128963213</v>
          </cell>
        </row>
        <row r="329">
          <cell r="I329">
            <v>-357885.5285539927</v>
          </cell>
        </row>
        <row r="330">
          <cell r="I330">
            <v>-360727.8281363338</v>
          </cell>
        </row>
        <row r="331">
          <cell r="I331">
            <v>-363586.70779957186</v>
          </cell>
        </row>
        <row r="332">
          <cell r="I332">
            <v>-366462.2642608455</v>
          </cell>
        </row>
        <row r="333">
          <cell r="I333">
            <v>-369354.5948014766</v>
          </cell>
        </row>
        <row r="334">
          <cell r="I334">
            <v>-372263.79727026133</v>
          </cell>
        </row>
        <row r="335">
          <cell r="I335">
            <v>-375189.97008678067</v>
          </cell>
        </row>
        <row r="336">
          <cell r="I336">
            <v>-378133.2122447297</v>
          </cell>
        </row>
        <row r="337">
          <cell r="I337">
            <v>-381093.62331526674</v>
          </cell>
        </row>
        <row r="338">
          <cell r="I338">
            <v>-384071.3034503819</v>
          </cell>
        </row>
        <row r="339">
          <cell r="I339">
            <v>-387066.35338628525</v>
          </cell>
        </row>
        <row r="340">
          <cell r="I340">
            <v>-390078.8744468147</v>
          </cell>
        </row>
        <row r="341">
          <cell r="I341">
            <v>-393108.96854686394</v>
          </cell>
        </row>
        <row r="342">
          <cell r="I342">
            <v>-396156.7381958301</v>
          </cell>
        </row>
        <row r="343">
          <cell r="I343">
            <v>-399222.2865010819</v>
          </cell>
        </row>
        <row r="344">
          <cell r="I344">
            <v>-402305.7171714477</v>
          </cell>
        </row>
        <row r="345">
          <cell r="I345">
            <v>-405407.13452072395</v>
          </cell>
        </row>
        <row r="346">
          <cell r="I346">
            <v>-408526.6434712043</v>
          </cell>
        </row>
        <row r="347">
          <cell r="I347">
            <v>-411664.34955722914</v>
          </cell>
        </row>
        <row r="348">
          <cell r="I348">
            <v>-414820.3589287558</v>
          </cell>
        </row>
        <row r="349">
          <cell r="I349">
            <v>-417994.77835494967</v>
          </cell>
        </row>
        <row r="350">
          <cell r="I350">
            <v>-421187.71522779635</v>
          </cell>
        </row>
        <row r="351">
          <cell r="I351">
            <v>-424399.27756573464</v>
          </cell>
        </row>
        <row r="352">
          <cell r="I352">
            <v>-427629.57401731086</v>
          </cell>
        </row>
        <row r="353">
          <cell r="I353">
            <v>-430878.71386485465</v>
          </cell>
        </row>
        <row r="354">
          <cell r="I354">
            <v>-434146.8070281758</v>
          </cell>
        </row>
        <row r="355">
          <cell r="I355">
            <v>-437433.964068283</v>
          </cell>
        </row>
        <row r="356">
          <cell r="I356">
            <v>-440740.2961911241</v>
          </cell>
        </row>
        <row r="357">
          <cell r="I357">
            <v>-444065.9152513484</v>
          </cell>
        </row>
        <row r="358">
          <cell r="I358">
            <v>-447410.93375609076</v>
          </cell>
        </row>
        <row r="359">
          <cell r="I359">
            <v>-450775.46486877743</v>
          </cell>
        </row>
        <row r="360">
          <cell r="I360">
            <v>-454159.62241295475</v>
          </cell>
        </row>
        <row r="361">
          <cell r="I361">
            <v>-457563.5208761398</v>
          </cell>
        </row>
        <row r="362">
          <cell r="I362">
            <v>-460987.27541369345</v>
          </cell>
        </row>
        <row r="363">
          <cell r="I363">
            <v>-464431.00185271614</v>
          </cell>
        </row>
        <row r="364">
          <cell r="I364">
            <v>-467894.81669596647</v>
          </cell>
        </row>
        <row r="365">
          <cell r="I365">
            <v>-471378.8371258024</v>
          </cell>
        </row>
        <row r="366">
          <cell r="I366">
            <v>-474883.18100814574</v>
          </cell>
        </row>
        <row r="367">
          <cell r="I367">
            <v>-478407.9668964694</v>
          </cell>
        </row>
        <row r="368">
          <cell r="I368">
            <v>-481953.31403580826</v>
          </cell>
        </row>
        <row r="369">
          <cell r="I369">
            <v>-485519.34236679325</v>
          </cell>
        </row>
        <row r="370">
          <cell r="I370">
            <v>-489106.172529709</v>
          </cell>
        </row>
        <row r="371">
          <cell r="I371">
            <v>-492713.9258685751</v>
          </cell>
        </row>
        <row r="372">
          <cell r="I372">
            <v>-496342.72443525126</v>
          </cell>
        </row>
        <row r="373">
          <cell r="I373">
            <v>-499992.69099356636</v>
          </cell>
        </row>
        <row r="374">
          <cell r="I374">
            <v>-503663.9490234716</v>
          </cell>
        </row>
        <row r="375">
          <cell r="I375">
            <v>-507356.622725218</v>
          </cell>
        </row>
        <row r="376">
          <cell r="I376">
            <v>-511070.8370235579</v>
          </cell>
        </row>
        <row r="377">
          <cell r="I377">
            <v>-514806.7175719715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="110" zoomScaleNormal="110" workbookViewId="0" topLeftCell="A8">
      <selection activeCell="C35" sqref="C35"/>
    </sheetView>
  </sheetViews>
  <sheetFormatPr defaultColWidth="10.75390625" defaultRowHeight="12.75"/>
  <cols>
    <col min="1" max="1" width="25.75390625" style="15" customWidth="1"/>
    <col min="2" max="2" width="11.25390625" style="15" customWidth="1"/>
    <col min="3" max="3" width="10.375" style="15" customWidth="1"/>
    <col min="4" max="4" width="10.25390625" style="15" customWidth="1"/>
    <col min="5" max="16384" width="10.75390625" style="15" customWidth="1"/>
  </cols>
  <sheetData>
    <row r="2" ht="13.5">
      <c r="A2" s="17" t="s">
        <v>123</v>
      </c>
    </row>
    <row r="3" spans="2:4" ht="13.5">
      <c r="B3" s="18" t="s">
        <v>28</v>
      </c>
      <c r="C3" s="18" t="s">
        <v>29</v>
      </c>
      <c r="D3" s="18" t="s">
        <v>121</v>
      </c>
    </row>
    <row r="4" spans="1:4" ht="13.5">
      <c r="A4" s="14" t="s">
        <v>122</v>
      </c>
      <c r="B4" s="11">
        <f>SUM(B6:B10)</f>
        <v>1369010.4386617101</v>
      </c>
      <c r="C4" s="11">
        <f>SUM(C6:C10)</f>
        <v>2139337.814126394</v>
      </c>
      <c r="D4" s="11">
        <f>SUM(D6:D10)</f>
        <v>2843492.8773234207</v>
      </c>
    </row>
    <row r="5" ht="13.5">
      <c r="A5" s="14"/>
    </row>
    <row r="6" spans="1:4" ht="13.5">
      <c r="A6" s="19" t="s">
        <v>56</v>
      </c>
      <c r="B6" s="20">
        <f>'Drivers - Revenues'!B40</f>
        <v>750000</v>
      </c>
      <c r="C6" s="20">
        <f>'Drivers - Revenues'!C40</f>
        <v>1000000</v>
      </c>
      <c r="D6" s="20">
        <f>'Drivers - Revenues'!D40</f>
        <v>750000</v>
      </c>
    </row>
    <row r="7" spans="1:4" ht="13.5">
      <c r="A7" s="19" t="s">
        <v>27</v>
      </c>
      <c r="B7" s="20">
        <f>'Drivers - Revenues'!B70</f>
        <v>278178.43866171007</v>
      </c>
      <c r="C7" s="20">
        <f>'Drivers - Revenues'!C70</f>
        <v>389449.81412639405</v>
      </c>
      <c r="D7" s="20">
        <f>'Drivers - Revenues'!D70</f>
        <v>556356.8773234201</v>
      </c>
    </row>
    <row r="8" spans="1:4" ht="13.5">
      <c r="A8" s="19" t="s">
        <v>43</v>
      </c>
      <c r="B8" s="20">
        <f>'Drivers - Revenues'!B34</f>
        <v>248832</v>
      </c>
      <c r="C8" s="20">
        <f>'Drivers - Revenues'!C34</f>
        <v>641088</v>
      </c>
      <c r="D8" s="20">
        <f>'Drivers - Revenues'!D34</f>
        <v>1403136.0000000002</v>
      </c>
    </row>
    <row r="9" spans="1:4" ht="13.5">
      <c r="A9" s="19" t="s">
        <v>60</v>
      </c>
      <c r="B9" s="20">
        <f>'Drivers - Revenues'!B84</f>
        <v>50000</v>
      </c>
      <c r="C9" s="20">
        <f>'Drivers - Revenues'!C84</f>
        <v>50000</v>
      </c>
      <c r="D9" s="20">
        <f>'Drivers - Revenues'!D84</f>
        <v>50000</v>
      </c>
    </row>
    <row r="10" spans="1:4" ht="13.5">
      <c r="A10" s="19" t="s">
        <v>44</v>
      </c>
      <c r="B10" s="20">
        <f>'Drivers - Revenues'!B78</f>
        <v>42000.00000000001</v>
      </c>
      <c r="C10" s="20">
        <f>'Drivers - Revenues'!C78</f>
        <v>58800.000000000015</v>
      </c>
      <c r="D10" s="20">
        <f>'Drivers - Revenues'!D78</f>
        <v>84000.00000000001</v>
      </c>
    </row>
    <row r="11" spans="1:4" ht="13.5">
      <c r="A11" s="21" t="s">
        <v>115</v>
      </c>
      <c r="B11" s="9">
        <f>SUM(B6:B10)</f>
        <v>1369010.4386617101</v>
      </c>
      <c r="C11" s="9">
        <f>SUM(C6:C10)</f>
        <v>2139337.814126394</v>
      </c>
      <c r="D11" s="9">
        <f>SUM(D6:D10)</f>
        <v>2843492.8773234207</v>
      </c>
    </row>
    <row r="13" ht="13.5">
      <c r="A13" s="22" t="s">
        <v>116</v>
      </c>
    </row>
    <row r="14" spans="2:4" ht="13.5">
      <c r="B14" s="18" t="s">
        <v>28</v>
      </c>
      <c r="C14" s="18" t="s">
        <v>29</v>
      </c>
      <c r="D14" s="18" t="s">
        <v>121</v>
      </c>
    </row>
    <row r="15" ht="13.5">
      <c r="A15" s="23"/>
    </row>
    <row r="16" spans="1:4" ht="13.5">
      <c r="A16" s="183" t="s">
        <v>134</v>
      </c>
      <c r="B16" s="24"/>
      <c r="C16" s="24"/>
      <c r="D16" s="24"/>
    </row>
    <row r="17" spans="1:4" ht="13.5">
      <c r="A17" s="172" t="s">
        <v>135</v>
      </c>
      <c r="B17" s="24">
        <f>Salaries!K23</f>
        <v>1079900</v>
      </c>
      <c r="C17" s="24">
        <f>Salaries!L23</f>
        <v>1657144</v>
      </c>
      <c r="D17" s="24">
        <f>Salaries!M23</f>
        <v>2288212.48</v>
      </c>
    </row>
    <row r="18" spans="1:4" ht="13.5">
      <c r="A18" s="172" t="s">
        <v>62</v>
      </c>
      <c r="B18" s="24">
        <f>'Drivers - Expenses'!B6</f>
        <v>27817.84386617101</v>
      </c>
      <c r="C18" s="24">
        <f>'Drivers - Expenses'!C6</f>
        <v>38944.981412639405</v>
      </c>
      <c r="D18" s="24">
        <f>'Drivers - Expenses'!D6</f>
        <v>55635.68773234202</v>
      </c>
    </row>
    <row r="19" spans="1:4" ht="13.5">
      <c r="A19" s="173" t="s">
        <v>35</v>
      </c>
      <c r="B19" s="24">
        <v>2100</v>
      </c>
      <c r="C19" s="24">
        <f>B19*1.15</f>
        <v>2415</v>
      </c>
      <c r="D19" s="24">
        <f>C19*1.15</f>
        <v>2777.25</v>
      </c>
    </row>
    <row r="20" spans="1:4" ht="13.5">
      <c r="A20" s="173" t="s">
        <v>36</v>
      </c>
      <c r="B20" s="24">
        <f>'Drivers - Expenses'!B30*'Drivers - Expenses'!B31*Salaries!B20</f>
        <v>33000</v>
      </c>
      <c r="C20" s="24">
        <f>'Drivers - Expenses'!C30*'Drivers - Expenses'!C31*Salaries!C20</f>
        <v>57000</v>
      </c>
      <c r="D20" s="24">
        <f>'Drivers - Expenses'!D30*'Drivers - Expenses'!D31*Salaries!D20</f>
        <v>81000</v>
      </c>
    </row>
    <row r="21" spans="1:4" ht="13.5">
      <c r="A21" s="173" t="s">
        <v>38</v>
      </c>
      <c r="B21" s="24">
        <v>10000</v>
      </c>
      <c r="C21" s="24">
        <f>B21*1.1</f>
        <v>11000</v>
      </c>
      <c r="D21" s="24">
        <f>C21*1.1</f>
        <v>12100.000000000002</v>
      </c>
    </row>
    <row r="22" spans="1:4" ht="13.5">
      <c r="A22" s="173" t="s">
        <v>1</v>
      </c>
      <c r="B22" s="24">
        <f>B9*0.25</f>
        <v>12500</v>
      </c>
      <c r="C22" s="24">
        <f>C9*0.25</f>
        <v>12500</v>
      </c>
      <c r="D22" s="24">
        <f>D9*0.25</f>
        <v>12500</v>
      </c>
    </row>
    <row r="23" spans="1:4" ht="13.5">
      <c r="A23" s="173" t="s">
        <v>82</v>
      </c>
      <c r="B23" s="24">
        <f>0.5*B9</f>
        <v>25000</v>
      </c>
      <c r="C23" s="24">
        <f>0.5*C9</f>
        <v>25000</v>
      </c>
      <c r="D23" s="24">
        <f>0.5*D9</f>
        <v>25000</v>
      </c>
    </row>
    <row r="24" spans="1:4" ht="13.5">
      <c r="A24" s="173" t="s">
        <v>11</v>
      </c>
      <c r="B24" s="24">
        <v>150000</v>
      </c>
      <c r="C24" s="24">
        <v>150000</v>
      </c>
      <c r="D24" s="24">
        <v>150000</v>
      </c>
    </row>
    <row r="25" spans="1:4" ht="13.5">
      <c r="A25" s="173" t="s">
        <v>37</v>
      </c>
      <c r="B25" s="24">
        <v>2800</v>
      </c>
      <c r="C25" s="24">
        <f>B25*1.05</f>
        <v>2940</v>
      </c>
      <c r="D25" s="24">
        <f>C25*1.05</f>
        <v>3087</v>
      </c>
    </row>
    <row r="26" spans="1:4" ht="13.5">
      <c r="A26" s="173" t="s">
        <v>30</v>
      </c>
      <c r="B26" s="24">
        <f>'Drivers - Expenses'!B27</f>
        <v>3660</v>
      </c>
      <c r="C26" s="24">
        <f>'Drivers - Expenses'!C27</f>
        <v>3843</v>
      </c>
      <c r="D26" s="24">
        <f>'Drivers - Expenses'!D27</f>
        <v>4035.15</v>
      </c>
    </row>
    <row r="27" spans="1:4" ht="13.5">
      <c r="A27" s="25" t="s">
        <v>117</v>
      </c>
      <c r="B27" s="8">
        <f>SUM(B16:B26)</f>
        <v>1346777.843866171</v>
      </c>
      <c r="C27" s="8">
        <f>SUM(C16:C26)</f>
        <v>1960786.9814126394</v>
      </c>
      <c r="D27" s="9">
        <f>SUM(D16:D26)</f>
        <v>2634347.567732342</v>
      </c>
    </row>
    <row r="28" spans="1:4" ht="13.5">
      <c r="A28" s="26" t="s">
        <v>113</v>
      </c>
      <c r="B28" s="10">
        <f>B11-B27</f>
        <v>22232.594795539044</v>
      </c>
      <c r="C28" s="10">
        <f>C11-C27</f>
        <v>178550.83271375485</v>
      </c>
      <c r="D28" s="10">
        <f>D11-D27</f>
        <v>209145.30959107867</v>
      </c>
    </row>
    <row r="29" spans="1:4" ht="13.5">
      <c r="A29" s="26"/>
      <c r="B29" s="27"/>
      <c r="C29" s="27"/>
      <c r="D29" s="28"/>
    </row>
    <row r="30" spans="1:4" ht="13.5">
      <c r="A30" s="26" t="s">
        <v>112</v>
      </c>
      <c r="B30" s="29">
        <f>B27/B11</f>
        <v>0.983760098412929</v>
      </c>
      <c r="C30" s="29">
        <f>C27/C11</f>
        <v>0.9165392059473942</v>
      </c>
      <c r="D30" s="29">
        <f>D27/D11</f>
        <v>0.9264477462704436</v>
      </c>
    </row>
    <row r="31" spans="1:4" ht="13.5">
      <c r="A31" s="14" t="s">
        <v>114</v>
      </c>
      <c r="B31" s="30">
        <f>B28/B11</f>
        <v>0.01623990158707098</v>
      </c>
      <c r="C31" s="30">
        <f>C28/C11</f>
        <v>0.0834607940526058</v>
      </c>
      <c r="D31" s="30">
        <f>D28/D11</f>
        <v>0.07355225372955641</v>
      </c>
    </row>
    <row r="33" spans="1:4" ht="13.5">
      <c r="A33" s="14" t="s">
        <v>12</v>
      </c>
      <c r="B33" s="31">
        <v>0</v>
      </c>
      <c r="C33" s="31">
        <v>0</v>
      </c>
      <c r="D33" s="31">
        <v>0</v>
      </c>
    </row>
    <row r="35" spans="1:4" ht="13.5">
      <c r="A35" s="14" t="s">
        <v>31</v>
      </c>
      <c r="B35" s="24">
        <f>'Drivers - Expenses'!B13</f>
        <v>105000</v>
      </c>
      <c r="C35" s="24">
        <v>0</v>
      </c>
      <c r="D35" s="24">
        <v>0</v>
      </c>
    </row>
    <row r="36" spans="1:4" ht="13.5">
      <c r="A36" s="14" t="s">
        <v>32</v>
      </c>
      <c r="B36" s="10">
        <f>B28</f>
        <v>22232.594795539044</v>
      </c>
      <c r="C36" s="10">
        <f>C28</f>
        <v>178550.83271375485</v>
      </c>
      <c r="D36" s="10">
        <f>D28</f>
        <v>209145.30959107867</v>
      </c>
    </row>
    <row r="37" spans="1:4" ht="13.5">
      <c r="A37" s="14" t="s">
        <v>125</v>
      </c>
      <c r="B37" s="24">
        <f>B36*0.4</f>
        <v>8893.037918215618</v>
      </c>
      <c r="C37" s="24">
        <f>C36*0.4</f>
        <v>71420.33308550194</v>
      </c>
      <c r="D37" s="24">
        <f>D36*0.4</f>
        <v>83658.12383643148</v>
      </c>
    </row>
    <row r="39" spans="1:4" ht="13.5">
      <c r="A39" s="14" t="s">
        <v>33</v>
      </c>
      <c r="B39" s="24">
        <f>B36-B37</f>
        <v>13339.556877323426</v>
      </c>
      <c r="C39" s="24">
        <f>C36-C37</f>
        <v>107130.4996282529</v>
      </c>
      <c r="D39" s="24">
        <f>D36-D37</f>
        <v>125487.18575464719</v>
      </c>
    </row>
    <row r="40" spans="1:4" ht="13.5">
      <c r="A40" s="14" t="s">
        <v>34</v>
      </c>
      <c r="B40" s="30">
        <f>B39/B4</f>
        <v>0.009743940952242588</v>
      </c>
      <c r="C40" s="30">
        <f>C39/C4</f>
        <v>0.050076476431563474</v>
      </c>
      <c r="D40" s="30">
        <f>D39/D4</f>
        <v>0.044131352237733845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47.875" style="1" bestFit="1" customWidth="1"/>
    <col min="2" max="2" width="10.625" style="1" customWidth="1"/>
    <col min="3" max="4" width="11.75390625" style="1" bestFit="1" customWidth="1"/>
    <col min="5" max="6" width="9.375" style="1" customWidth="1"/>
    <col min="7" max="7" width="12.00390625" style="1" customWidth="1"/>
    <col min="8" max="8" width="9.625" style="1" bestFit="1" customWidth="1"/>
    <col min="9" max="9" width="10.25390625" style="1" customWidth="1"/>
    <col min="10" max="10" width="10.00390625" style="1" customWidth="1"/>
    <col min="11" max="23" width="9.00390625" style="1" customWidth="1"/>
    <col min="24" max="31" width="8.375" style="1" bestFit="1" customWidth="1"/>
    <col min="32" max="16384" width="9.00390625" style="1" customWidth="1"/>
  </cols>
  <sheetData>
    <row r="1" spans="1:4" s="2" customFormat="1" ht="13.5" customHeight="1">
      <c r="A1" s="71" t="s">
        <v>142</v>
      </c>
      <c r="B1" s="71"/>
      <c r="C1" s="72"/>
      <c r="D1" s="72"/>
    </row>
    <row r="2" spans="1:4" s="2" customFormat="1" ht="13.5">
      <c r="A2" s="32"/>
      <c r="B2" s="33" t="s">
        <v>118</v>
      </c>
      <c r="C2" s="33" t="s">
        <v>119</v>
      </c>
      <c r="D2" s="33" t="s">
        <v>120</v>
      </c>
    </row>
    <row r="3" spans="1:4" s="2" customFormat="1" ht="13.5">
      <c r="A3" s="34" t="s">
        <v>156</v>
      </c>
      <c r="B3" s="33"/>
      <c r="C3" s="33"/>
      <c r="D3" s="33"/>
    </row>
    <row r="4" spans="1:4" s="2" customFormat="1" ht="13.5">
      <c r="A4" s="35" t="s">
        <v>157</v>
      </c>
      <c r="B4" s="36">
        <v>5000000</v>
      </c>
      <c r="C4" s="36">
        <v>5000000</v>
      </c>
      <c r="D4" s="36">
        <v>5000000</v>
      </c>
    </row>
    <row r="5" spans="1:4" s="2" customFormat="1" ht="13.5">
      <c r="A5" s="35" t="s">
        <v>158</v>
      </c>
      <c r="B5" s="64">
        <v>0.8</v>
      </c>
      <c r="C5" s="64">
        <v>0.8</v>
      </c>
      <c r="D5" s="64">
        <v>0.8</v>
      </c>
    </row>
    <row r="6" spans="1:4" s="2" customFormat="1" ht="13.5">
      <c r="A6" s="38" t="s">
        <v>17</v>
      </c>
      <c r="B6" s="36">
        <f>B4*B5</f>
        <v>4000000</v>
      </c>
      <c r="C6" s="36">
        <f>C4*C5</f>
        <v>4000000</v>
      </c>
      <c r="D6" s="36">
        <f>D4*D5</f>
        <v>4000000</v>
      </c>
    </row>
    <row r="7" spans="1:4" s="2" customFormat="1" ht="13.5">
      <c r="A7" s="35"/>
      <c r="B7" s="36"/>
      <c r="C7" s="36"/>
      <c r="D7" s="36"/>
    </row>
    <row r="8" spans="1:4" s="2" customFormat="1" ht="13.5">
      <c r="A8" s="39"/>
      <c r="B8" s="33" t="s">
        <v>118</v>
      </c>
      <c r="C8" s="33" t="s">
        <v>119</v>
      </c>
      <c r="D8" s="33" t="s">
        <v>120</v>
      </c>
    </row>
    <row r="9" s="2" customFormat="1" ht="13.5">
      <c r="A9" s="65" t="s">
        <v>65</v>
      </c>
    </row>
    <row r="10" spans="1:4" s="40" customFormat="1" ht="13.5">
      <c r="A10" s="41" t="s">
        <v>66</v>
      </c>
      <c r="B10" s="37"/>
      <c r="C10" s="42"/>
      <c r="D10" s="42"/>
    </row>
    <row r="11" spans="1:4" s="2" customFormat="1" ht="13.5">
      <c r="A11" s="35" t="s">
        <v>126</v>
      </c>
      <c r="B11" s="64">
        <v>0.05</v>
      </c>
      <c r="C11" s="64">
        <v>0.07</v>
      </c>
      <c r="D11" s="64">
        <v>0.1</v>
      </c>
    </row>
    <row r="12" spans="1:10" s="15" customFormat="1" ht="13.5">
      <c r="A12" s="35" t="s">
        <v>67</v>
      </c>
      <c r="B12" s="36">
        <v>0</v>
      </c>
      <c r="C12" s="36"/>
      <c r="D12" s="36"/>
      <c r="H12" s="29"/>
      <c r="I12" s="29"/>
      <c r="J12" s="29"/>
    </row>
    <row r="13" spans="1:10" s="15" customFormat="1" ht="13.5">
      <c r="A13" s="35" t="s">
        <v>68</v>
      </c>
      <c r="B13" s="43">
        <f>B11*B6</f>
        <v>200000</v>
      </c>
      <c r="C13" s="43">
        <f>C11*C6</f>
        <v>280000</v>
      </c>
      <c r="D13" s="43">
        <f>D11*D6</f>
        <v>400000</v>
      </c>
      <c r="H13" s="29"/>
      <c r="I13" s="29"/>
      <c r="J13" s="29"/>
    </row>
    <row r="14" spans="1:4" s="2" customFormat="1" ht="13.5" customHeight="1">
      <c r="A14" s="35" t="s">
        <v>69</v>
      </c>
      <c r="B14" s="83">
        <v>3</v>
      </c>
      <c r="C14" s="83">
        <v>5</v>
      </c>
      <c r="D14" s="83">
        <v>7</v>
      </c>
    </row>
    <row r="15" spans="1:4" s="2" customFormat="1" ht="13.5" customHeight="1">
      <c r="A15" s="44" t="s">
        <v>70</v>
      </c>
      <c r="B15" s="43">
        <f>B13*B14</f>
        <v>600000</v>
      </c>
      <c r="C15" s="43">
        <f>C13*C14</f>
        <v>1400000</v>
      </c>
      <c r="D15" s="43">
        <f>D13*D14</f>
        <v>2800000</v>
      </c>
    </row>
    <row r="16" spans="1:2" s="2" customFormat="1" ht="13.5" customHeight="1">
      <c r="A16" s="44"/>
      <c r="B16" s="44"/>
    </row>
    <row r="17" spans="1:4" s="2" customFormat="1" ht="13.5" customHeight="1">
      <c r="A17" s="71" t="s">
        <v>25</v>
      </c>
      <c r="B17" s="71"/>
      <c r="C17" s="72"/>
      <c r="D17" s="72"/>
    </row>
    <row r="18" spans="1:2" s="2" customFormat="1" ht="13.5" customHeight="1">
      <c r="A18" s="44"/>
      <c r="B18" s="44"/>
    </row>
    <row r="19" spans="1:4" s="2" customFormat="1" ht="13.5" customHeight="1">
      <c r="A19" s="38" t="s">
        <v>71</v>
      </c>
      <c r="B19" s="84">
        <v>6</v>
      </c>
      <c r="C19" s="84">
        <v>6</v>
      </c>
      <c r="D19" s="84">
        <v>6</v>
      </c>
    </row>
    <row r="20" spans="1:4" s="2" customFormat="1" ht="16.5" customHeight="1">
      <c r="A20" s="44" t="s">
        <v>72</v>
      </c>
      <c r="B20" s="43">
        <f>B15*B19</f>
        <v>3600000</v>
      </c>
      <c r="C20" s="43">
        <f>C15*C19</f>
        <v>8400000</v>
      </c>
      <c r="D20" s="43">
        <f>D15*D19</f>
        <v>16800000</v>
      </c>
    </row>
    <row r="21" spans="1:4" s="2" customFormat="1" ht="13.5">
      <c r="A21" s="44" t="s">
        <v>73</v>
      </c>
      <c r="B21" s="67">
        <v>0.45</v>
      </c>
      <c r="C21" s="67">
        <v>0.5</v>
      </c>
      <c r="D21" s="67">
        <v>0.55</v>
      </c>
    </row>
    <row r="22" spans="1:2" s="2" customFormat="1" ht="13.5">
      <c r="A22" s="44"/>
      <c r="B22" s="44"/>
    </row>
    <row r="23" spans="1:4" s="2" customFormat="1" ht="13.5">
      <c r="A23" s="13" t="s">
        <v>74</v>
      </c>
      <c r="B23" s="36" t="s">
        <v>118</v>
      </c>
      <c r="C23" s="3" t="s">
        <v>119</v>
      </c>
      <c r="D23" s="3" t="s">
        <v>120</v>
      </c>
    </row>
    <row r="24" spans="1:4" s="2" customFormat="1" ht="13.5">
      <c r="A24" s="46" t="s">
        <v>6</v>
      </c>
      <c r="B24" s="85">
        <v>12</v>
      </c>
      <c r="C24" s="85">
        <v>12</v>
      </c>
      <c r="D24" s="85">
        <v>12</v>
      </c>
    </row>
    <row r="25" spans="1:4" s="2" customFormat="1" ht="13.5">
      <c r="A25" s="46"/>
      <c r="B25" s="47"/>
      <c r="C25" s="47"/>
      <c r="D25" s="47"/>
    </row>
    <row r="26" spans="1:2" s="2" customFormat="1" ht="13.5">
      <c r="A26" s="38" t="s">
        <v>75</v>
      </c>
      <c r="B26" s="44"/>
    </row>
    <row r="27" spans="1:4" s="2" customFormat="1" ht="13.5">
      <c r="A27" s="35" t="s">
        <v>76</v>
      </c>
      <c r="B27" s="84">
        <v>3</v>
      </c>
      <c r="C27" s="84">
        <v>3</v>
      </c>
      <c r="D27" s="84">
        <v>3</v>
      </c>
    </row>
    <row r="28" spans="1:4" s="47" customFormat="1" ht="13.5">
      <c r="A28" s="48" t="s">
        <v>77</v>
      </c>
      <c r="B28" s="86">
        <v>0.2</v>
      </c>
      <c r="C28" s="86">
        <v>0.2</v>
      </c>
      <c r="D28" s="86">
        <v>0.2</v>
      </c>
    </row>
    <row r="29" spans="1:4" s="51" customFormat="1" ht="13.5">
      <c r="A29" s="49" t="s">
        <v>78</v>
      </c>
      <c r="B29" s="87">
        <v>0.0036</v>
      </c>
      <c r="C29" s="87">
        <v>0.0036</v>
      </c>
      <c r="D29" s="87">
        <v>0.0036</v>
      </c>
    </row>
    <row r="30" spans="1:4" s="51" customFormat="1" ht="13.5">
      <c r="A30" s="49"/>
      <c r="B30" s="50"/>
      <c r="C30" s="50"/>
      <c r="D30" s="50"/>
    </row>
    <row r="31" spans="1:4" s="2" customFormat="1" ht="13.5">
      <c r="A31" s="38" t="s">
        <v>7</v>
      </c>
      <c r="B31" s="47">
        <f>B24*B21*B20/1000</f>
        <v>19440</v>
      </c>
      <c r="C31" s="47">
        <f>C24*C21*C20/1000</f>
        <v>50400</v>
      </c>
      <c r="D31" s="47">
        <f>D24*D21*D20/1000</f>
        <v>110880.00000000001</v>
      </c>
    </row>
    <row r="32" spans="1:4" s="2" customFormat="1" ht="13.5">
      <c r="A32" s="38" t="s">
        <v>22</v>
      </c>
      <c r="B32" s="47">
        <f>B29*B28*B27*B15</f>
        <v>1296</v>
      </c>
      <c r="C32" s="47">
        <f>C29*C28*C27*C15</f>
        <v>3024</v>
      </c>
      <c r="D32" s="47">
        <f>D29*D28*D27*D15</f>
        <v>6048</v>
      </c>
    </row>
    <row r="33" spans="1:4" s="2" customFormat="1" ht="13.5">
      <c r="A33" s="38" t="s">
        <v>8</v>
      </c>
      <c r="B33" s="47">
        <f>SUM(B31:B32)</f>
        <v>20736</v>
      </c>
      <c r="C33" s="47">
        <f>SUM(C31:C32)</f>
        <v>53424</v>
      </c>
      <c r="D33" s="47">
        <f>SUM(D31:D32)</f>
        <v>116928.00000000001</v>
      </c>
    </row>
    <row r="34" spans="1:4" s="2" customFormat="1" ht="13.5">
      <c r="A34" s="38" t="s">
        <v>0</v>
      </c>
      <c r="B34" s="3">
        <f>B33*12</f>
        <v>248832</v>
      </c>
      <c r="C34" s="3">
        <f>C33*12</f>
        <v>641088</v>
      </c>
      <c r="D34" s="3">
        <f>D33*12</f>
        <v>1403136.0000000002</v>
      </c>
    </row>
    <row r="35" spans="2:4" s="2" customFormat="1" ht="13.5">
      <c r="B35" s="36"/>
      <c r="C35" s="3"/>
      <c r="D35" s="52"/>
    </row>
    <row r="36" spans="1:4" s="2" customFormat="1" ht="13.5" customHeight="1">
      <c r="A36" s="71" t="s">
        <v>56</v>
      </c>
      <c r="B36" s="71"/>
      <c r="C36" s="72"/>
      <c r="D36" s="72"/>
    </row>
    <row r="37" spans="2:4" s="2" customFormat="1" ht="13.5">
      <c r="B37" s="36"/>
      <c r="C37" s="3"/>
      <c r="D37" s="52"/>
    </row>
    <row r="38" spans="1:4" s="2" customFormat="1" ht="13.5">
      <c r="A38" s="13" t="s">
        <v>57</v>
      </c>
      <c r="B38" s="69">
        <v>1</v>
      </c>
      <c r="C38" s="69">
        <v>2</v>
      </c>
      <c r="D38" s="69">
        <v>3</v>
      </c>
    </row>
    <row r="39" spans="1:4" s="2" customFormat="1" ht="13.5">
      <c r="A39" s="13" t="s">
        <v>58</v>
      </c>
      <c r="B39" s="68">
        <v>750000</v>
      </c>
      <c r="C39" s="68">
        <v>500000</v>
      </c>
      <c r="D39" s="68">
        <v>250000</v>
      </c>
    </row>
    <row r="40" spans="1:4" s="2" customFormat="1" ht="13.5">
      <c r="A40" s="13" t="s">
        <v>59</v>
      </c>
      <c r="B40" s="3">
        <f>B38*B39</f>
        <v>750000</v>
      </c>
      <c r="C40" s="3">
        <f>C38*C39</f>
        <v>1000000</v>
      </c>
      <c r="D40" s="3">
        <f>D38*D39</f>
        <v>750000</v>
      </c>
    </row>
    <row r="41" spans="2:4" s="2" customFormat="1" ht="13.5">
      <c r="B41" s="36"/>
      <c r="C41" s="3"/>
      <c r="D41" s="52"/>
    </row>
    <row r="42" spans="1:9" s="2" customFormat="1" ht="13.5" customHeight="1">
      <c r="A42" s="71" t="s">
        <v>27</v>
      </c>
      <c r="B42" s="71"/>
      <c r="C42" s="72"/>
      <c r="D42" s="72"/>
      <c r="I42" s="75"/>
    </row>
    <row r="43" spans="1:9" s="2" customFormat="1" ht="13.5" customHeight="1">
      <c r="A43" s="44"/>
      <c r="B43" s="44"/>
      <c r="I43" s="75"/>
    </row>
    <row r="44" spans="1:9" s="2" customFormat="1" ht="13.5" customHeight="1">
      <c r="A44" s="38" t="s">
        <v>85</v>
      </c>
      <c r="B44" s="82">
        <v>0.0035</v>
      </c>
      <c r="C44" s="82">
        <v>0.0035</v>
      </c>
      <c r="D44" s="82">
        <v>0.0035</v>
      </c>
      <c r="I44" s="75"/>
    </row>
    <row r="45" spans="1:9" s="2" customFormat="1" ht="13.5" customHeight="1">
      <c r="A45" s="38" t="s">
        <v>52</v>
      </c>
      <c r="B45" s="76">
        <f>B44*B13</f>
        <v>700</v>
      </c>
      <c r="C45" s="76">
        <f>C44*C13</f>
        <v>980</v>
      </c>
      <c r="D45" s="76">
        <f>D44*D13</f>
        <v>1400</v>
      </c>
      <c r="I45" s="75"/>
    </row>
    <row r="46" spans="1:7" s="2" customFormat="1" ht="13.5" customHeight="1">
      <c r="A46" s="38"/>
      <c r="B46" s="189" t="s">
        <v>86</v>
      </c>
      <c r="C46" s="189"/>
      <c r="D46" s="189"/>
      <c r="E46" s="189" t="s">
        <v>53</v>
      </c>
      <c r="F46" s="189"/>
      <c r="G46" s="189"/>
    </row>
    <row r="47" spans="2:7" s="2" customFormat="1" ht="13.5" customHeight="1">
      <c r="B47" s="78" t="s">
        <v>118</v>
      </c>
      <c r="C47" s="78" t="s">
        <v>119</v>
      </c>
      <c r="D47" s="78" t="s">
        <v>120</v>
      </c>
      <c r="E47" s="66" t="s">
        <v>118</v>
      </c>
      <c r="F47" s="66" t="s">
        <v>119</v>
      </c>
      <c r="G47" s="66" t="s">
        <v>120</v>
      </c>
    </row>
    <row r="48" spans="1:7" s="2" customFormat="1" ht="13.5" customHeight="1">
      <c r="A48" s="77">
        <v>35</v>
      </c>
      <c r="B48" s="88">
        <f>'MinnPost Data'!C3</f>
        <v>0.080545229244114</v>
      </c>
      <c r="C48" s="88">
        <f>'MinnPost Data'!C3</f>
        <v>0.080545229244114</v>
      </c>
      <c r="D48" s="88">
        <f>'MinnPost Data'!C3</f>
        <v>0.080545229244114</v>
      </c>
      <c r="E48" s="76">
        <f aca="true" t="shared" si="0" ref="E48:E57">B48*$B$45</f>
        <v>56.3816604708798</v>
      </c>
      <c r="F48" s="36">
        <f aca="true" t="shared" si="1" ref="F48:F57">C48*$C$45</f>
        <v>78.93432465923172</v>
      </c>
      <c r="G48" s="36">
        <f aca="true" t="shared" si="2" ref="G48:G57">D48*$D$45</f>
        <v>112.7633209417596</v>
      </c>
    </row>
    <row r="49" spans="1:7" s="2" customFormat="1" ht="13.5" customHeight="1">
      <c r="A49" s="77">
        <v>50</v>
      </c>
      <c r="B49" s="88">
        <f>'MinnPost Data'!C4</f>
        <v>0.4349442379182156</v>
      </c>
      <c r="C49" s="88">
        <f>'MinnPost Data'!C4</f>
        <v>0.4349442379182156</v>
      </c>
      <c r="D49" s="88">
        <f>'MinnPost Data'!C4</f>
        <v>0.4349442379182156</v>
      </c>
      <c r="E49" s="76">
        <f t="shared" si="0"/>
        <v>304.46096654275095</v>
      </c>
      <c r="F49" s="36">
        <f t="shared" si="1"/>
        <v>426.24535315985133</v>
      </c>
      <c r="G49" s="36">
        <f t="shared" si="2"/>
        <v>608.9219330855019</v>
      </c>
    </row>
    <row r="50" spans="1:7" s="2" customFormat="1" ht="13.5" customHeight="1">
      <c r="A50" s="77">
        <v>175</v>
      </c>
      <c r="B50" s="88">
        <f>'MinnPost Data'!C5</f>
        <v>0.3469640644361834</v>
      </c>
      <c r="C50" s="88">
        <f>'MinnPost Data'!C5</f>
        <v>0.3469640644361834</v>
      </c>
      <c r="D50" s="88">
        <f>'MinnPost Data'!C5</f>
        <v>0.3469640644361834</v>
      </c>
      <c r="E50" s="76">
        <f t="shared" si="0"/>
        <v>242.87484510532838</v>
      </c>
      <c r="F50" s="36">
        <f t="shared" si="1"/>
        <v>340.02478314745974</v>
      </c>
      <c r="G50" s="36">
        <f t="shared" si="2"/>
        <v>485.74969021065675</v>
      </c>
    </row>
    <row r="51" spans="1:7" s="2" customFormat="1" ht="13.5" customHeight="1">
      <c r="A51" s="77">
        <v>375</v>
      </c>
      <c r="B51" s="88">
        <f>'MinnPost Data'!C6</f>
        <v>0.06567534076827757</v>
      </c>
      <c r="C51" s="88">
        <f>'MinnPost Data'!C6</f>
        <v>0.06567534076827757</v>
      </c>
      <c r="D51" s="88">
        <f>'MinnPost Data'!C6</f>
        <v>0.06567534076827757</v>
      </c>
      <c r="E51" s="76">
        <f t="shared" si="0"/>
        <v>45.97273853779429</v>
      </c>
      <c r="F51" s="36">
        <f t="shared" si="1"/>
        <v>64.36183395291201</v>
      </c>
      <c r="G51" s="36">
        <f t="shared" si="2"/>
        <v>91.94547707558858</v>
      </c>
    </row>
    <row r="52" spans="1:7" s="2" customFormat="1" ht="13.5" customHeight="1">
      <c r="A52" s="77">
        <v>750</v>
      </c>
      <c r="B52" s="88">
        <f>'MinnPost Data'!C7</f>
        <v>0.02973977695167286</v>
      </c>
      <c r="C52" s="88">
        <f>'MinnPost Data'!C7</f>
        <v>0.02973977695167286</v>
      </c>
      <c r="D52" s="88">
        <f>'MinnPost Data'!C7</f>
        <v>0.02973977695167286</v>
      </c>
      <c r="E52" s="76">
        <f t="shared" si="0"/>
        <v>20.817843866171003</v>
      </c>
      <c r="F52" s="36">
        <f t="shared" si="1"/>
        <v>29.144981412639403</v>
      </c>
      <c r="G52" s="36">
        <f t="shared" si="2"/>
        <v>41.63568773234201</v>
      </c>
    </row>
    <row r="53" spans="1:7" s="2" customFormat="1" ht="13.5" customHeight="1">
      <c r="A53" s="77">
        <v>1500</v>
      </c>
      <c r="B53" s="88">
        <f>'MinnPost Data'!C8</f>
        <v>0.01982651796778191</v>
      </c>
      <c r="C53" s="88">
        <f>'MinnPost Data'!C8</f>
        <v>0.01982651796778191</v>
      </c>
      <c r="D53" s="88">
        <f>'MinnPost Data'!C8</f>
        <v>0.01982651796778191</v>
      </c>
      <c r="E53" s="76">
        <f t="shared" si="0"/>
        <v>13.878562577447337</v>
      </c>
      <c r="F53" s="36">
        <f t="shared" si="1"/>
        <v>19.42998760842627</v>
      </c>
      <c r="G53" s="36">
        <f t="shared" si="2"/>
        <v>27.757125154894673</v>
      </c>
    </row>
    <row r="54" spans="1:7" s="2" customFormat="1" ht="13.5" customHeight="1">
      <c r="A54" s="77">
        <v>2500</v>
      </c>
      <c r="B54" s="88">
        <f>'MinnPost Data'!C9</f>
        <v>0.004956629491945477</v>
      </c>
      <c r="C54" s="88">
        <f>'MinnPost Data'!C9</f>
        <v>0.004956629491945477</v>
      </c>
      <c r="D54" s="88">
        <f>'MinnPost Data'!C9</f>
        <v>0.004956629491945477</v>
      </c>
      <c r="E54" s="76">
        <f t="shared" si="0"/>
        <v>3.469640644361834</v>
      </c>
      <c r="F54" s="36">
        <f t="shared" si="1"/>
        <v>4.8574969021065675</v>
      </c>
      <c r="G54" s="36">
        <f t="shared" si="2"/>
        <v>6.939281288723668</v>
      </c>
    </row>
    <row r="55" spans="1:7" s="2" customFormat="1" ht="13.5" customHeight="1">
      <c r="A55" s="77">
        <v>5000</v>
      </c>
      <c r="B55" s="88">
        <f>'MinnPost Data'!C10</f>
        <v>0.008674101610904586</v>
      </c>
      <c r="C55" s="88">
        <f>'MinnPost Data'!C10</f>
        <v>0.008674101610904586</v>
      </c>
      <c r="D55" s="88">
        <f>'MinnPost Data'!C10</f>
        <v>0.008674101610904586</v>
      </c>
      <c r="E55" s="76">
        <f t="shared" si="0"/>
        <v>6.07187112763321</v>
      </c>
      <c r="F55" s="36">
        <f t="shared" si="1"/>
        <v>8.500619578686495</v>
      </c>
      <c r="G55" s="36">
        <f t="shared" si="2"/>
        <v>12.14374225526642</v>
      </c>
    </row>
    <row r="56" spans="1:7" s="2" customFormat="1" ht="13.5" customHeight="1">
      <c r="A56" s="77">
        <v>10000</v>
      </c>
      <c r="B56" s="88">
        <f>'MinnPost Data'!C11</f>
        <v>0.0024783147459727386</v>
      </c>
      <c r="C56" s="88">
        <f>'MinnPost Data'!C11</f>
        <v>0.0024783147459727386</v>
      </c>
      <c r="D56" s="88">
        <f>'MinnPost Data'!C11</f>
        <v>0.0024783147459727386</v>
      </c>
      <c r="E56" s="76">
        <f t="shared" si="0"/>
        <v>1.734820322180917</v>
      </c>
      <c r="F56" s="36">
        <f t="shared" si="1"/>
        <v>2.4287484510532837</v>
      </c>
      <c r="G56" s="36">
        <f t="shared" si="2"/>
        <v>3.469640644361834</v>
      </c>
    </row>
    <row r="57" spans="1:7" s="2" customFormat="1" ht="13.5" customHeight="1">
      <c r="A57" s="77">
        <v>25000</v>
      </c>
      <c r="B57" s="88">
        <f>'MinnPost Data'!C12</f>
        <v>0.006195786864931847</v>
      </c>
      <c r="C57" s="88">
        <f>'MinnPost Data'!C12</f>
        <v>0.006195786864931847</v>
      </c>
      <c r="D57" s="88">
        <f>'MinnPost Data'!C12</f>
        <v>0.006195786864931847</v>
      </c>
      <c r="E57" s="76">
        <f t="shared" si="0"/>
        <v>4.337050805452293</v>
      </c>
      <c r="F57" s="36">
        <f t="shared" si="1"/>
        <v>6.07187112763321</v>
      </c>
      <c r="G57" s="36">
        <f t="shared" si="2"/>
        <v>8.674101610904586</v>
      </c>
    </row>
    <row r="58" spans="2:7" s="2" customFormat="1" ht="15" customHeight="1">
      <c r="B58" s="189" t="s">
        <v>54</v>
      </c>
      <c r="C58" s="189"/>
      <c r="D58" s="189"/>
      <c r="F58" s="79"/>
      <c r="G58" s="79"/>
    </row>
    <row r="59" spans="1:9" s="2" customFormat="1" ht="13.5" customHeight="1">
      <c r="A59" s="13" t="s">
        <v>55</v>
      </c>
      <c r="B59" s="66" t="s">
        <v>118</v>
      </c>
      <c r="C59" s="66" t="s">
        <v>119</v>
      </c>
      <c r="D59" s="66" t="s">
        <v>120</v>
      </c>
      <c r="I59" s="75"/>
    </row>
    <row r="60" spans="1:9" s="2" customFormat="1" ht="13.5" customHeight="1">
      <c r="A60" s="77">
        <v>35</v>
      </c>
      <c r="B60" s="3">
        <f>$A$48*E48</f>
        <v>1973.3581164807931</v>
      </c>
      <c r="C60" s="3">
        <f>$A$48*F48</f>
        <v>2762.7013630731103</v>
      </c>
      <c r="D60" s="3">
        <f>$A$48*G48</f>
        <v>3946.7162329615862</v>
      </c>
      <c r="I60" s="75"/>
    </row>
    <row r="61" spans="1:9" s="2" customFormat="1" ht="13.5" customHeight="1">
      <c r="A61" s="77">
        <v>50</v>
      </c>
      <c r="B61" s="3">
        <f>$A$49*E49</f>
        <v>15223.048327137547</v>
      </c>
      <c r="C61" s="7">
        <f aca="true" t="shared" si="3" ref="C61:C69">F49*A49</f>
        <v>21312.26765799257</v>
      </c>
      <c r="D61" s="3">
        <f aca="true" t="shared" si="4" ref="D61:D69">G49*A49</f>
        <v>30446.096654275094</v>
      </c>
      <c r="I61" s="75"/>
    </row>
    <row r="62" spans="1:9" s="2" customFormat="1" ht="13.5" customHeight="1">
      <c r="A62" s="77">
        <v>175</v>
      </c>
      <c r="B62" s="3">
        <f aca="true" t="shared" si="5" ref="B62:B69">A50*E50</f>
        <v>42503.09789343247</v>
      </c>
      <c r="C62" s="7">
        <f t="shared" si="3"/>
        <v>59504.33705080546</v>
      </c>
      <c r="D62" s="3">
        <f t="shared" si="4"/>
        <v>85006.19578686493</v>
      </c>
      <c r="I62" s="75"/>
    </row>
    <row r="63" spans="1:9" s="2" customFormat="1" ht="13.5" customHeight="1">
      <c r="A63" s="77">
        <v>375</v>
      </c>
      <c r="B63" s="3">
        <f t="shared" si="5"/>
        <v>17239.77695167286</v>
      </c>
      <c r="C63" s="7">
        <f t="shared" si="3"/>
        <v>24135.687732342</v>
      </c>
      <c r="D63" s="3">
        <f t="shared" si="4"/>
        <v>34479.55390334572</v>
      </c>
      <c r="I63" s="75"/>
    </row>
    <row r="64" spans="1:9" s="2" customFormat="1" ht="13.5" customHeight="1">
      <c r="A64" s="77">
        <v>750</v>
      </c>
      <c r="B64" s="3">
        <f t="shared" si="5"/>
        <v>15613.382899628252</v>
      </c>
      <c r="C64" s="7">
        <f t="shared" si="3"/>
        <v>21858.736059479554</v>
      </c>
      <c r="D64" s="3">
        <f t="shared" si="4"/>
        <v>31226.765799256504</v>
      </c>
      <c r="I64" s="75"/>
    </row>
    <row r="65" spans="1:9" s="2" customFormat="1" ht="13.5" customHeight="1">
      <c r="A65" s="77">
        <v>1500</v>
      </c>
      <c r="B65" s="3">
        <f t="shared" si="5"/>
        <v>20817.843866171006</v>
      </c>
      <c r="C65" s="7">
        <f t="shared" si="3"/>
        <v>29144.981412639405</v>
      </c>
      <c r="D65" s="3">
        <f t="shared" si="4"/>
        <v>41635.68773234201</v>
      </c>
      <c r="I65" s="75"/>
    </row>
    <row r="66" spans="1:9" s="2" customFormat="1" ht="13.5" customHeight="1">
      <c r="A66" s="77">
        <v>2500</v>
      </c>
      <c r="B66" s="3">
        <f t="shared" si="5"/>
        <v>8674.101610904585</v>
      </c>
      <c r="C66" s="7">
        <f t="shared" si="3"/>
        <v>12143.74225526642</v>
      </c>
      <c r="D66" s="3">
        <f t="shared" si="4"/>
        <v>17348.20322180917</v>
      </c>
      <c r="I66" s="75"/>
    </row>
    <row r="67" spans="1:9" s="2" customFormat="1" ht="13.5" customHeight="1">
      <c r="A67" s="77">
        <v>5000</v>
      </c>
      <c r="B67" s="3">
        <f t="shared" si="5"/>
        <v>30359.35563816605</v>
      </c>
      <c r="C67" s="7">
        <f t="shared" si="3"/>
        <v>42503.097893432474</v>
      </c>
      <c r="D67" s="3">
        <f t="shared" si="4"/>
        <v>60718.7112763321</v>
      </c>
      <c r="I67" s="75"/>
    </row>
    <row r="68" spans="1:9" s="2" customFormat="1" ht="13.5" customHeight="1">
      <c r="A68" s="77">
        <v>10000</v>
      </c>
      <c r="B68" s="3">
        <f t="shared" si="5"/>
        <v>17348.20322180917</v>
      </c>
      <c r="C68" s="7">
        <f t="shared" si="3"/>
        <v>24287.48451053284</v>
      </c>
      <c r="D68" s="3">
        <f t="shared" si="4"/>
        <v>34696.40644361834</v>
      </c>
      <c r="I68" s="75"/>
    </row>
    <row r="69" spans="1:9" s="2" customFormat="1" ht="13.5" customHeight="1">
      <c r="A69" s="77">
        <v>25000</v>
      </c>
      <c r="B69" s="3">
        <f t="shared" si="5"/>
        <v>108426.27013630733</v>
      </c>
      <c r="C69" s="7">
        <f t="shared" si="3"/>
        <v>151796.77819083023</v>
      </c>
      <c r="D69" s="3">
        <f t="shared" si="4"/>
        <v>216852.54027261466</v>
      </c>
      <c r="I69" s="75"/>
    </row>
    <row r="70" spans="1:9" s="2" customFormat="1" ht="13.5" customHeight="1">
      <c r="A70" s="79" t="s">
        <v>55</v>
      </c>
      <c r="B70" s="4">
        <f>SUM(B60:B69)</f>
        <v>278178.43866171007</v>
      </c>
      <c r="C70" s="4">
        <f>SUM(C60:C69)</f>
        <v>389449.81412639405</v>
      </c>
      <c r="D70" s="4">
        <f>SUM(D60:D69)</f>
        <v>556356.8773234201</v>
      </c>
      <c r="I70" s="75"/>
    </row>
    <row r="71" spans="1:9" s="2" customFormat="1" ht="13.5" customHeight="1">
      <c r="A71" s="38"/>
      <c r="B71" s="73"/>
      <c r="C71" s="74"/>
      <c r="D71" s="74"/>
      <c r="I71" s="75"/>
    </row>
    <row r="72" spans="1:4" s="2" customFormat="1" ht="13.5">
      <c r="A72" s="71" t="s">
        <v>26</v>
      </c>
      <c r="B72" s="71"/>
      <c r="C72" s="72"/>
      <c r="D72" s="72"/>
    </row>
    <row r="73" spans="1:2" s="2" customFormat="1" ht="13.5">
      <c r="A73" s="44"/>
      <c r="B73" s="44"/>
    </row>
    <row r="74" spans="1:2" s="2" customFormat="1" ht="13.5">
      <c r="A74" s="38" t="s">
        <v>79</v>
      </c>
      <c r="B74" s="44"/>
    </row>
    <row r="75" spans="1:10" s="2" customFormat="1" ht="13.5">
      <c r="A75" s="35" t="s">
        <v>80</v>
      </c>
      <c r="B75" s="85">
        <v>3.5</v>
      </c>
      <c r="C75" s="85">
        <v>3.5</v>
      </c>
      <c r="D75" s="85">
        <v>3.5</v>
      </c>
      <c r="H75" s="54"/>
      <c r="I75" s="54"/>
      <c r="J75" s="54"/>
    </row>
    <row r="76" spans="1:10" s="57" customFormat="1" ht="13.5">
      <c r="A76" s="55" t="s">
        <v>81</v>
      </c>
      <c r="B76" s="89">
        <v>0.005</v>
      </c>
      <c r="C76" s="89">
        <v>0.005</v>
      </c>
      <c r="D76" s="89">
        <v>0.005</v>
      </c>
      <c r="H76" s="58"/>
      <c r="I76" s="58"/>
      <c r="J76" s="58"/>
    </row>
    <row r="77" spans="1:10" s="57" customFormat="1" ht="13.5">
      <c r="A77" s="55" t="s">
        <v>124</v>
      </c>
      <c r="B77" s="80">
        <f>B76*B75*B13</f>
        <v>3500.0000000000005</v>
      </c>
      <c r="C77" s="80">
        <f>C76*C75*C13</f>
        <v>4900.000000000001</v>
      </c>
      <c r="D77" s="80">
        <f>D76*D75*D13</f>
        <v>7000.000000000001</v>
      </c>
      <c r="H77" s="58"/>
      <c r="I77" s="58"/>
      <c r="J77" s="58"/>
    </row>
    <row r="78" spans="1:10" s="57" customFormat="1" ht="13.5">
      <c r="A78" s="81" t="s">
        <v>18</v>
      </c>
      <c r="B78" s="80">
        <f>B77*12</f>
        <v>42000.00000000001</v>
      </c>
      <c r="C78" s="80">
        <f>C77*12</f>
        <v>58800.000000000015</v>
      </c>
      <c r="D78" s="80">
        <f>D77*12</f>
        <v>84000.00000000001</v>
      </c>
      <c r="H78" s="58"/>
      <c r="I78" s="58"/>
      <c r="J78" s="58"/>
    </row>
    <row r="79" spans="1:10" s="57" customFormat="1" ht="13.5">
      <c r="A79" s="55"/>
      <c r="B79" s="56"/>
      <c r="C79" s="56"/>
      <c r="D79" s="56"/>
      <c r="H79" s="58"/>
      <c r="I79" s="58"/>
      <c r="J79" s="58"/>
    </row>
    <row r="80" spans="1:10" s="57" customFormat="1" ht="13.5">
      <c r="A80" s="59" t="s">
        <v>82</v>
      </c>
      <c r="B80" s="56"/>
      <c r="C80" s="56"/>
      <c r="D80" s="56"/>
      <c r="H80" s="58"/>
      <c r="I80" s="58"/>
      <c r="J80" s="58"/>
    </row>
    <row r="81" spans="1:10" s="57" customFormat="1" ht="13.5">
      <c r="A81" s="60" t="s">
        <v>83</v>
      </c>
      <c r="B81" s="90">
        <v>2</v>
      </c>
      <c r="C81" s="90">
        <v>2</v>
      </c>
      <c r="D81" s="90">
        <v>2</v>
      </c>
      <c r="H81" s="58"/>
      <c r="I81" s="58"/>
      <c r="J81" s="58"/>
    </row>
    <row r="82" spans="1:10" s="57" customFormat="1" ht="13.5">
      <c r="A82" s="70" t="s">
        <v>24</v>
      </c>
      <c r="B82" s="91">
        <v>100</v>
      </c>
      <c r="C82" s="91">
        <v>100</v>
      </c>
      <c r="D82" s="91">
        <v>100</v>
      </c>
      <c r="H82" s="58"/>
      <c r="I82" s="58"/>
      <c r="J82" s="58"/>
    </row>
    <row r="83" spans="1:10" s="57" customFormat="1" ht="13.5">
      <c r="A83" s="55" t="s">
        <v>84</v>
      </c>
      <c r="B83" s="90">
        <v>250</v>
      </c>
      <c r="C83" s="90">
        <v>250</v>
      </c>
      <c r="D83" s="90">
        <v>250</v>
      </c>
      <c r="H83" s="58"/>
      <c r="I83" s="58"/>
      <c r="J83" s="58"/>
    </row>
    <row r="84" spans="1:10" s="57" customFormat="1" ht="13.5">
      <c r="A84" s="62" t="s">
        <v>23</v>
      </c>
      <c r="B84" s="61">
        <f>B82*B81*B83</f>
        <v>50000</v>
      </c>
      <c r="C84" s="61">
        <f>C82*C81*C83</f>
        <v>50000</v>
      </c>
      <c r="D84" s="61">
        <f>D82*D81*D83</f>
        <v>50000</v>
      </c>
      <c r="H84" s="58"/>
      <c r="I84" s="58"/>
      <c r="J84" s="58"/>
    </row>
    <row r="85" spans="1:4" s="53" customFormat="1" ht="13.5">
      <c r="A85" s="63"/>
      <c r="B85" s="3"/>
      <c r="C85" s="3"/>
      <c r="D85" s="3"/>
    </row>
    <row r="86" spans="1:4" s="2" customFormat="1" ht="13.5">
      <c r="A86" s="38"/>
      <c r="B86" s="37"/>
      <c r="C86" s="37"/>
      <c r="D86" s="37"/>
    </row>
    <row r="87" spans="1:4" s="2" customFormat="1" ht="13.5">
      <c r="A87" s="13"/>
      <c r="B87" s="66"/>
      <c r="C87" s="66"/>
      <c r="D87" s="66"/>
    </row>
    <row r="88" spans="1:4" s="2" customFormat="1" ht="13.5">
      <c r="A88" s="39"/>
      <c r="B88" s="180"/>
      <c r="C88" s="180"/>
      <c r="D88" s="180"/>
    </row>
    <row r="89" spans="1:4" s="2" customFormat="1" ht="13.5">
      <c r="A89" s="39"/>
      <c r="B89" s="37"/>
      <c r="C89" s="37"/>
      <c r="D89" s="37"/>
    </row>
    <row r="90" spans="1:4" s="2" customFormat="1" ht="13.5">
      <c r="A90" s="39"/>
      <c r="B90" s="37"/>
      <c r="C90" s="37"/>
      <c r="D90" s="37"/>
    </row>
    <row r="91" spans="1:4" s="2" customFormat="1" ht="13.5">
      <c r="A91" s="39"/>
      <c r="B91" s="45"/>
      <c r="C91" s="37"/>
      <c r="D91" s="37"/>
    </row>
    <row r="92" spans="1:4" s="2" customFormat="1" ht="13.5">
      <c r="A92" s="39"/>
      <c r="B92" s="45"/>
      <c r="C92" s="37"/>
      <c r="D92" s="37"/>
    </row>
    <row r="93" spans="1:4" s="15" customFormat="1" ht="13.5">
      <c r="A93" s="16"/>
      <c r="B93" s="45"/>
      <c r="C93" s="45"/>
      <c r="D93" s="37"/>
    </row>
    <row r="94" spans="1:4" s="15" customFormat="1" ht="13.5">
      <c r="A94" s="38"/>
      <c r="B94" s="3"/>
      <c r="C94" s="3"/>
      <c r="D94" s="3"/>
    </row>
    <row r="95" s="15" customFormat="1" ht="13.5">
      <c r="A95" s="14"/>
    </row>
    <row r="96" spans="1:4" s="2" customFormat="1" ht="13.5">
      <c r="A96" s="39"/>
      <c r="B96" s="181"/>
      <c r="C96" s="181"/>
      <c r="D96" s="36"/>
    </row>
    <row r="97" spans="1:4" s="2" customFormat="1" ht="13.5">
      <c r="A97" s="39"/>
      <c r="B97" s="93"/>
      <c r="C97" s="93"/>
      <c r="D97" s="3"/>
    </row>
  </sheetData>
  <mergeCells count="3">
    <mergeCell ref="B46:D46"/>
    <mergeCell ref="E46:G46"/>
    <mergeCell ref="B58:D5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="110" zoomScaleNormal="110" workbookViewId="0" topLeftCell="A9">
      <selection activeCell="A2" sqref="A2"/>
    </sheetView>
  </sheetViews>
  <sheetFormatPr defaultColWidth="10.75390625" defaultRowHeight="12.75"/>
  <cols>
    <col min="1" max="1" width="28.00390625" style="2" bestFit="1" customWidth="1"/>
    <col min="2" max="2" width="9.625" style="2" bestFit="1" customWidth="1"/>
    <col min="3" max="3" width="11.00390625" style="2" bestFit="1" customWidth="1"/>
    <col min="4" max="4" width="9.625" style="2" bestFit="1" customWidth="1"/>
    <col min="5" max="5" width="10.75390625" style="2" customWidth="1"/>
    <col min="6" max="6" width="13.125" style="2" bestFit="1" customWidth="1"/>
    <col min="7" max="9" width="10.75390625" style="2" customWidth="1"/>
    <col min="10" max="10" width="20.75390625" style="2" bestFit="1" customWidth="1"/>
    <col min="11" max="16384" width="10.75390625" style="2" customWidth="1"/>
  </cols>
  <sheetData>
    <row r="1" spans="1:4" ht="13.5">
      <c r="A1" s="186" t="s">
        <v>19</v>
      </c>
      <c r="B1" s="72"/>
      <c r="C1" s="72"/>
      <c r="D1" s="72"/>
    </row>
    <row r="2" ht="13.5">
      <c r="A2" s="13"/>
    </row>
    <row r="3" spans="1:4" ht="13.5">
      <c r="A3" s="13" t="s">
        <v>45</v>
      </c>
      <c r="B3" s="16" t="s">
        <v>118</v>
      </c>
      <c r="C3" s="16" t="s">
        <v>119</v>
      </c>
      <c r="D3" s="16" t="s">
        <v>120</v>
      </c>
    </row>
    <row r="4" spans="1:4" ht="13.5">
      <c r="A4" s="2" t="s">
        <v>46</v>
      </c>
      <c r="B4" s="93">
        <f>'Drivers - Revenues'!B70</f>
        <v>278178.43866171007</v>
      </c>
      <c r="C4" s="93">
        <f>'Drivers - Revenues'!C70</f>
        <v>389449.81412639405</v>
      </c>
      <c r="D4" s="93">
        <f>'Drivers - Revenues'!D70</f>
        <v>556356.8773234201</v>
      </c>
    </row>
    <row r="5" spans="1:4" ht="13.5">
      <c r="A5" s="92" t="s">
        <v>61</v>
      </c>
      <c r="B5" s="94">
        <v>0.1</v>
      </c>
      <c r="C5" s="94">
        <v>0.1</v>
      </c>
      <c r="D5" s="94">
        <v>0.1</v>
      </c>
    </row>
    <row r="6" spans="1:4" ht="13.5">
      <c r="A6" s="13" t="s">
        <v>47</v>
      </c>
      <c r="B6" s="93">
        <f>B5*B4</f>
        <v>27817.84386617101</v>
      </c>
      <c r="C6" s="93">
        <f>C5*C4</f>
        <v>38944.981412639405</v>
      </c>
      <c r="D6" s="93">
        <f>D5*D4</f>
        <v>55635.68773234202</v>
      </c>
    </row>
    <row r="7" spans="1:4" ht="13.5">
      <c r="A7" s="13"/>
      <c r="B7" s="16"/>
      <c r="C7" s="16"/>
      <c r="D7" s="16"/>
    </row>
    <row r="8" spans="1:4" ht="13.5">
      <c r="A8" s="13" t="s">
        <v>48</v>
      </c>
      <c r="B8" s="16" t="s">
        <v>118</v>
      </c>
      <c r="C8" s="16" t="s">
        <v>119</v>
      </c>
      <c r="D8" s="16" t="s">
        <v>120</v>
      </c>
    </row>
    <row r="9" spans="1:4" ht="13.5">
      <c r="A9" s="13" t="s">
        <v>64</v>
      </c>
      <c r="B9" s="93">
        <f>'Drivers - Revenues'!B40</f>
        <v>750000</v>
      </c>
      <c r="C9" s="93">
        <f>'Drivers - Revenues'!C40</f>
        <v>1000000</v>
      </c>
      <c r="D9" s="93">
        <f>'Drivers - Revenues'!D40</f>
        <v>750000</v>
      </c>
    </row>
    <row r="10" spans="1:4" ht="13.5">
      <c r="A10" s="92" t="s">
        <v>63</v>
      </c>
      <c r="B10" s="94">
        <v>0.1</v>
      </c>
      <c r="C10" s="94">
        <v>0.1</v>
      </c>
      <c r="D10" s="94">
        <v>0.1</v>
      </c>
    </row>
    <row r="11" spans="1:4" ht="13.5">
      <c r="A11" s="92"/>
      <c r="B11" s="3">
        <f>B9*B10</f>
        <v>75000</v>
      </c>
      <c r="C11" s="3">
        <f>C9*C10</f>
        <v>100000</v>
      </c>
      <c r="D11" s="3">
        <f>D9*D10</f>
        <v>75000</v>
      </c>
    </row>
    <row r="13" spans="1:2" ht="13.5">
      <c r="A13" s="13" t="s">
        <v>143</v>
      </c>
      <c r="B13" s="3">
        <f>SUM(B15:B18)</f>
        <v>105000</v>
      </c>
    </row>
    <row r="14" ht="13.5">
      <c r="A14" s="92" t="s">
        <v>144</v>
      </c>
    </row>
    <row r="15" spans="1:2" ht="13.5">
      <c r="A15" s="2" t="s">
        <v>145</v>
      </c>
      <c r="B15" s="68">
        <v>50000</v>
      </c>
    </row>
    <row r="16" spans="1:2" ht="13.5">
      <c r="A16" s="2" t="s">
        <v>146</v>
      </c>
      <c r="B16" s="68">
        <v>9500</v>
      </c>
    </row>
    <row r="17" spans="1:2" ht="13.5">
      <c r="A17" s="2" t="s">
        <v>147</v>
      </c>
      <c r="B17" s="68">
        <v>5500</v>
      </c>
    </row>
    <row r="18" spans="1:2" ht="13.5">
      <c r="A18" s="2" t="s">
        <v>148</v>
      </c>
      <c r="B18" s="68">
        <v>40000</v>
      </c>
    </row>
    <row r="19" ht="13.5">
      <c r="D19" s="4"/>
    </row>
    <row r="21" spans="1:4" ht="13.5">
      <c r="A21" s="13" t="s">
        <v>149</v>
      </c>
      <c r="B21" s="16" t="s">
        <v>119</v>
      </c>
      <c r="C21" s="16" t="s">
        <v>120</v>
      </c>
      <c r="D21" s="16" t="s">
        <v>150</v>
      </c>
    </row>
    <row r="22" spans="1:4" ht="13.5">
      <c r="A22" s="2" t="s">
        <v>151</v>
      </c>
      <c r="B22" s="64">
        <v>0.05</v>
      </c>
      <c r="C22" s="95">
        <v>0.05</v>
      </c>
      <c r="D22" s="95">
        <v>0.05</v>
      </c>
    </row>
    <row r="23" spans="1:4" ht="13.5">
      <c r="A23" s="65" t="s">
        <v>152</v>
      </c>
      <c r="B23" s="16" t="s">
        <v>118</v>
      </c>
      <c r="C23" s="16" t="s">
        <v>119</v>
      </c>
      <c r="D23" s="16" t="s">
        <v>120</v>
      </c>
    </row>
    <row r="24" spans="1:4" ht="13.5">
      <c r="A24" s="2" t="s">
        <v>153</v>
      </c>
      <c r="B24" s="68">
        <v>1500</v>
      </c>
      <c r="C24" s="68">
        <f>B24*(1+$C$22)</f>
        <v>1575</v>
      </c>
      <c r="D24" s="68">
        <f>C24*(1+$D$22)</f>
        <v>1653.75</v>
      </c>
    </row>
    <row r="25" spans="1:4" ht="13.5">
      <c r="A25" s="2" t="s">
        <v>154</v>
      </c>
      <c r="B25" s="68">
        <v>660</v>
      </c>
      <c r="C25" s="68">
        <f>B25*(1+$C$22)</f>
        <v>693</v>
      </c>
      <c r="D25" s="68">
        <f>C25*(1+$D$22)</f>
        <v>727.65</v>
      </c>
    </row>
    <row r="26" spans="1:4" ht="13.5">
      <c r="A26" s="2" t="s">
        <v>155</v>
      </c>
      <c r="B26" s="68">
        <v>1500</v>
      </c>
      <c r="C26" s="68">
        <f>B26*(1+$C$22)</f>
        <v>1575</v>
      </c>
      <c r="D26" s="68">
        <f>C26*(1+$D$22)</f>
        <v>1653.75</v>
      </c>
    </row>
    <row r="27" spans="1:4" ht="13.5">
      <c r="A27" s="13" t="s">
        <v>47</v>
      </c>
      <c r="B27" s="96">
        <f>SUM(B24:B26)</f>
        <v>3660</v>
      </c>
      <c r="C27" s="96">
        <f>SUM(C24:C26)</f>
        <v>3843</v>
      </c>
      <c r="D27" s="96">
        <f>SUM(D24:D26)</f>
        <v>4035.15</v>
      </c>
    </row>
    <row r="29" spans="1:2" ht="13.5">
      <c r="A29" s="13" t="s">
        <v>36</v>
      </c>
      <c r="B29" s="37"/>
    </row>
    <row r="30" spans="1:4" ht="13.5">
      <c r="A30" s="16" t="s">
        <v>9</v>
      </c>
      <c r="B30" s="184">
        <v>100</v>
      </c>
      <c r="C30" s="184">
        <v>100</v>
      </c>
      <c r="D30" s="69">
        <v>100</v>
      </c>
    </row>
    <row r="31" spans="1:4" ht="13.5">
      <c r="A31" s="16" t="s">
        <v>10</v>
      </c>
      <c r="B31" s="185">
        <v>15</v>
      </c>
      <c r="C31" s="185">
        <v>15</v>
      </c>
      <c r="D31" s="68">
        <v>15</v>
      </c>
    </row>
  </sheetData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4"/>
  <sheetViews>
    <sheetView zoomScale="110" zoomScaleNormal="110" workbookViewId="0" topLeftCell="A1">
      <selection activeCell="A2" sqref="A2"/>
    </sheetView>
  </sheetViews>
  <sheetFormatPr defaultColWidth="18.75390625" defaultRowHeight="12.75"/>
  <cols>
    <col min="1" max="1" width="28.75390625" style="40" bestFit="1" customWidth="1"/>
    <col min="2" max="4" width="5.625" style="40" bestFit="1" customWidth="1"/>
    <col min="5" max="5" width="0.74609375" style="40" customWidth="1"/>
    <col min="6" max="9" width="8.625" style="40" bestFit="1" customWidth="1"/>
    <col min="10" max="10" width="0.875" style="40" customWidth="1"/>
    <col min="11" max="11" width="18.00390625" style="40" bestFit="1" customWidth="1"/>
    <col min="12" max="13" width="11.00390625" style="40" bestFit="1" customWidth="1"/>
    <col min="14" max="14" width="5.75390625" style="40" bestFit="1" customWidth="1"/>
    <col min="15" max="15" width="5.625" style="40" bestFit="1" customWidth="1"/>
    <col min="16" max="23" width="5.125" style="40" bestFit="1" customWidth="1"/>
    <col min="24" max="26" width="6.125" style="40" bestFit="1" customWidth="1"/>
    <col min="27" max="27" width="5.625" style="40" bestFit="1" customWidth="1"/>
    <col min="28" max="35" width="5.125" style="40" bestFit="1" customWidth="1"/>
    <col min="36" max="38" width="6.125" style="40" bestFit="1" customWidth="1"/>
    <col min="39" max="39" width="5.625" style="40" bestFit="1" customWidth="1"/>
    <col min="40" max="47" width="5.125" style="40" bestFit="1" customWidth="1"/>
    <col min="48" max="50" width="6.125" style="40" bestFit="1" customWidth="1"/>
    <col min="51" max="62" width="8.625" style="40" bestFit="1" customWidth="1"/>
    <col min="63" max="86" width="9.625" style="40" bestFit="1" customWidth="1"/>
    <col min="87" max="16384" width="18.75390625" style="40" customWidth="1"/>
  </cols>
  <sheetData>
    <row r="1" spans="1:86" ht="13.5">
      <c r="A1" s="186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ht="15" thickBot="1"/>
    <row r="3" spans="1:3" ht="13.5">
      <c r="A3" s="97" t="s">
        <v>41</v>
      </c>
      <c r="B3" s="98" t="s">
        <v>119</v>
      </c>
      <c r="C3" s="99" t="s">
        <v>120</v>
      </c>
    </row>
    <row r="4" spans="1:3" ht="15" thickBot="1">
      <c r="A4" s="100" t="s">
        <v>42</v>
      </c>
      <c r="B4" s="101">
        <v>0.04</v>
      </c>
      <c r="C4" s="102">
        <v>0.04</v>
      </c>
    </row>
    <row r="5" spans="2:4" ht="13.5">
      <c r="B5" s="42"/>
      <c r="C5" s="42"/>
      <c r="D5" s="42"/>
    </row>
    <row r="6" spans="15:75" ht="15" thickBot="1">
      <c r="O6" s="40" t="s">
        <v>118</v>
      </c>
      <c r="AA6" s="40" t="s">
        <v>119</v>
      </c>
      <c r="AM6" s="40" t="s">
        <v>120</v>
      </c>
      <c r="AY6" s="40" t="s">
        <v>118</v>
      </c>
      <c r="BK6" s="40" t="s">
        <v>119</v>
      </c>
      <c r="BW6" s="40" t="s">
        <v>120</v>
      </c>
    </row>
    <row r="7" spans="2:86" s="41" customFormat="1" ht="15" thickBot="1">
      <c r="B7" s="190" t="s">
        <v>14</v>
      </c>
      <c r="C7" s="191"/>
      <c r="D7" s="191"/>
      <c r="E7" s="103"/>
      <c r="F7" s="191" t="s">
        <v>15</v>
      </c>
      <c r="G7" s="191"/>
      <c r="H7" s="191"/>
      <c r="I7" s="191"/>
      <c r="J7" s="104"/>
      <c r="K7" s="105" t="s">
        <v>16</v>
      </c>
      <c r="L7" s="105"/>
      <c r="M7" s="105"/>
      <c r="N7" s="104"/>
      <c r="O7" s="190" t="s">
        <v>14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0" t="s">
        <v>15</v>
      </c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2"/>
    </row>
    <row r="8" spans="2:86" ht="15" thickBot="1">
      <c r="B8" s="106" t="s">
        <v>118</v>
      </c>
      <c r="C8" s="107" t="s">
        <v>119</v>
      </c>
      <c r="D8" s="107" t="s">
        <v>120</v>
      </c>
      <c r="E8" s="108"/>
      <c r="F8" s="109" t="s">
        <v>99</v>
      </c>
      <c r="G8" s="109" t="s">
        <v>118</v>
      </c>
      <c r="H8" s="109" t="s">
        <v>119</v>
      </c>
      <c r="I8" s="109" t="s">
        <v>120</v>
      </c>
      <c r="J8" s="108"/>
      <c r="K8" s="107" t="s">
        <v>118</v>
      </c>
      <c r="L8" s="107" t="s">
        <v>119</v>
      </c>
      <c r="M8" s="107" t="s">
        <v>120</v>
      </c>
      <c r="N8" s="108"/>
      <c r="O8" s="110" t="s">
        <v>100</v>
      </c>
      <c r="P8" s="111" t="s">
        <v>101</v>
      </c>
      <c r="Q8" s="111" t="s">
        <v>39</v>
      </c>
      <c r="R8" s="111" t="s">
        <v>40</v>
      </c>
      <c r="S8" s="111" t="s">
        <v>102</v>
      </c>
      <c r="T8" s="111" t="s">
        <v>103</v>
      </c>
      <c r="U8" s="111" t="s">
        <v>104</v>
      </c>
      <c r="V8" s="111" t="s">
        <v>105</v>
      </c>
      <c r="W8" s="111" t="s">
        <v>106</v>
      </c>
      <c r="X8" s="111" t="s">
        <v>107</v>
      </c>
      <c r="Y8" s="111" t="s">
        <v>108</v>
      </c>
      <c r="Z8" s="111" t="s">
        <v>109</v>
      </c>
      <c r="AA8" s="111" t="s">
        <v>100</v>
      </c>
      <c r="AB8" s="111" t="s">
        <v>101</v>
      </c>
      <c r="AC8" s="111" t="s">
        <v>39</v>
      </c>
      <c r="AD8" s="111" t="s">
        <v>40</v>
      </c>
      <c r="AE8" s="111" t="s">
        <v>102</v>
      </c>
      <c r="AF8" s="111" t="s">
        <v>103</v>
      </c>
      <c r="AG8" s="111" t="s">
        <v>104</v>
      </c>
      <c r="AH8" s="111" t="s">
        <v>105</v>
      </c>
      <c r="AI8" s="111" t="s">
        <v>106</v>
      </c>
      <c r="AJ8" s="111" t="s">
        <v>107</v>
      </c>
      <c r="AK8" s="111" t="s">
        <v>108</v>
      </c>
      <c r="AL8" s="111" t="s">
        <v>109</v>
      </c>
      <c r="AM8" s="112" t="s">
        <v>100</v>
      </c>
      <c r="AN8" s="112" t="s">
        <v>101</v>
      </c>
      <c r="AO8" s="112" t="s">
        <v>39</v>
      </c>
      <c r="AP8" s="112" t="s">
        <v>40</v>
      </c>
      <c r="AQ8" s="112" t="s">
        <v>102</v>
      </c>
      <c r="AR8" s="112" t="s">
        <v>103</v>
      </c>
      <c r="AS8" s="112" t="s">
        <v>104</v>
      </c>
      <c r="AT8" s="112" t="s">
        <v>105</v>
      </c>
      <c r="AU8" s="112" t="s">
        <v>106</v>
      </c>
      <c r="AV8" s="112" t="s">
        <v>107</v>
      </c>
      <c r="AW8" s="112" t="s">
        <v>108</v>
      </c>
      <c r="AX8" s="112" t="s">
        <v>109</v>
      </c>
      <c r="AY8" s="110" t="s">
        <v>100</v>
      </c>
      <c r="AZ8" s="111" t="s">
        <v>101</v>
      </c>
      <c r="BA8" s="111" t="s">
        <v>39</v>
      </c>
      <c r="BB8" s="111" t="s">
        <v>40</v>
      </c>
      <c r="BC8" s="111" t="s">
        <v>102</v>
      </c>
      <c r="BD8" s="111" t="s">
        <v>103</v>
      </c>
      <c r="BE8" s="111" t="s">
        <v>104</v>
      </c>
      <c r="BF8" s="111" t="s">
        <v>105</v>
      </c>
      <c r="BG8" s="111" t="s">
        <v>106</v>
      </c>
      <c r="BH8" s="111" t="s">
        <v>107</v>
      </c>
      <c r="BI8" s="111" t="s">
        <v>108</v>
      </c>
      <c r="BJ8" s="111" t="s">
        <v>109</v>
      </c>
      <c r="BK8" s="111" t="s">
        <v>100</v>
      </c>
      <c r="BL8" s="111" t="s">
        <v>101</v>
      </c>
      <c r="BM8" s="111" t="s">
        <v>39</v>
      </c>
      <c r="BN8" s="111" t="s">
        <v>40</v>
      </c>
      <c r="BO8" s="111" t="s">
        <v>102</v>
      </c>
      <c r="BP8" s="111" t="s">
        <v>103</v>
      </c>
      <c r="BQ8" s="111" t="s">
        <v>104</v>
      </c>
      <c r="BR8" s="111" t="s">
        <v>105</v>
      </c>
      <c r="BS8" s="111" t="s">
        <v>106</v>
      </c>
      <c r="BT8" s="111" t="s">
        <v>107</v>
      </c>
      <c r="BU8" s="111" t="s">
        <v>108</v>
      </c>
      <c r="BV8" s="111" t="s">
        <v>109</v>
      </c>
      <c r="BW8" s="112" t="s">
        <v>100</v>
      </c>
      <c r="BX8" s="112" t="s">
        <v>101</v>
      </c>
      <c r="BY8" s="112" t="s">
        <v>39</v>
      </c>
      <c r="BZ8" s="112" t="s">
        <v>40</v>
      </c>
      <c r="CA8" s="112" t="s">
        <v>102</v>
      </c>
      <c r="CB8" s="112" t="s">
        <v>103</v>
      </c>
      <c r="CC8" s="112" t="s">
        <v>104</v>
      </c>
      <c r="CD8" s="112" t="s">
        <v>105</v>
      </c>
      <c r="CE8" s="112" t="s">
        <v>106</v>
      </c>
      <c r="CF8" s="112" t="s">
        <v>107</v>
      </c>
      <c r="CG8" s="112" t="s">
        <v>108</v>
      </c>
      <c r="CH8" s="113" t="s">
        <v>109</v>
      </c>
    </row>
    <row r="9" spans="1:86" ht="13.5">
      <c r="A9" s="114" t="s">
        <v>136</v>
      </c>
      <c r="B9" s="115">
        <v>1</v>
      </c>
      <c r="C9" s="115">
        <v>1</v>
      </c>
      <c r="D9" s="115">
        <v>1</v>
      </c>
      <c r="E9" s="116"/>
      <c r="F9" s="117">
        <v>90000</v>
      </c>
      <c r="G9" s="118">
        <f aca="true" t="shared" si="0" ref="G9:G19">F9</f>
        <v>90000</v>
      </c>
      <c r="H9" s="118">
        <f aca="true" t="shared" si="1" ref="H9:H15">G9*(1+$B$4)</f>
        <v>93600</v>
      </c>
      <c r="I9" s="118">
        <f aca="true" t="shared" si="2" ref="I9:I15">H9*(1+$C$4)</f>
        <v>97344</v>
      </c>
      <c r="J9" s="116"/>
      <c r="K9" s="119">
        <f>SUM(AY9:BJ9)</f>
        <v>90000</v>
      </c>
      <c r="L9" s="119">
        <f aca="true" t="shared" si="3" ref="L9:L19">SUM(BK9:BV9)</f>
        <v>93600</v>
      </c>
      <c r="M9" s="119">
        <f aca="true" t="shared" si="4" ref="M9:M19">SUM(BW9:CH9)</f>
        <v>97344</v>
      </c>
      <c r="N9" s="116"/>
      <c r="O9" s="120">
        <f>$B$9</f>
        <v>1</v>
      </c>
      <c r="P9" s="120">
        <f aca="true" t="shared" si="5" ref="P9:Z9">$B$9</f>
        <v>1</v>
      </c>
      <c r="Q9" s="120">
        <f t="shared" si="5"/>
        <v>1</v>
      </c>
      <c r="R9" s="120">
        <f t="shared" si="5"/>
        <v>1</v>
      </c>
      <c r="S9" s="120">
        <f t="shared" si="5"/>
        <v>1</v>
      </c>
      <c r="T9" s="120">
        <f t="shared" si="5"/>
        <v>1</v>
      </c>
      <c r="U9" s="120">
        <f t="shared" si="5"/>
        <v>1</v>
      </c>
      <c r="V9" s="120">
        <f t="shared" si="5"/>
        <v>1</v>
      </c>
      <c r="W9" s="120">
        <f t="shared" si="5"/>
        <v>1</v>
      </c>
      <c r="X9" s="120">
        <f t="shared" si="5"/>
        <v>1</v>
      </c>
      <c r="Y9" s="120">
        <f t="shared" si="5"/>
        <v>1</v>
      </c>
      <c r="Z9" s="120">
        <f t="shared" si="5"/>
        <v>1</v>
      </c>
      <c r="AA9" s="120">
        <f>$C$9</f>
        <v>1</v>
      </c>
      <c r="AB9" s="120">
        <f aca="true" t="shared" si="6" ref="AB9:AL9">$C$9</f>
        <v>1</v>
      </c>
      <c r="AC9" s="120">
        <f t="shared" si="6"/>
        <v>1</v>
      </c>
      <c r="AD9" s="120">
        <f t="shared" si="6"/>
        <v>1</v>
      </c>
      <c r="AE9" s="120">
        <f t="shared" si="6"/>
        <v>1</v>
      </c>
      <c r="AF9" s="120">
        <f t="shared" si="6"/>
        <v>1</v>
      </c>
      <c r="AG9" s="120">
        <f t="shared" si="6"/>
        <v>1</v>
      </c>
      <c r="AH9" s="120">
        <f t="shared" si="6"/>
        <v>1</v>
      </c>
      <c r="AI9" s="120">
        <f t="shared" si="6"/>
        <v>1</v>
      </c>
      <c r="AJ9" s="120">
        <f t="shared" si="6"/>
        <v>1</v>
      </c>
      <c r="AK9" s="120">
        <f t="shared" si="6"/>
        <v>1</v>
      </c>
      <c r="AL9" s="120">
        <f t="shared" si="6"/>
        <v>1</v>
      </c>
      <c r="AM9" s="120">
        <f>$D$9</f>
        <v>1</v>
      </c>
      <c r="AN9" s="120">
        <f aca="true" t="shared" si="7" ref="AN9:AX9">$D$9</f>
        <v>1</v>
      </c>
      <c r="AO9" s="120">
        <f t="shared" si="7"/>
        <v>1</v>
      </c>
      <c r="AP9" s="120">
        <f t="shared" si="7"/>
        <v>1</v>
      </c>
      <c r="AQ9" s="120">
        <f t="shared" si="7"/>
        <v>1</v>
      </c>
      <c r="AR9" s="120">
        <f t="shared" si="7"/>
        <v>1</v>
      </c>
      <c r="AS9" s="120">
        <f t="shared" si="7"/>
        <v>1</v>
      </c>
      <c r="AT9" s="120">
        <f t="shared" si="7"/>
        <v>1</v>
      </c>
      <c r="AU9" s="120">
        <f t="shared" si="7"/>
        <v>1</v>
      </c>
      <c r="AV9" s="120">
        <f t="shared" si="7"/>
        <v>1</v>
      </c>
      <c r="AW9" s="120">
        <f t="shared" si="7"/>
        <v>1</v>
      </c>
      <c r="AX9" s="120">
        <f t="shared" si="7"/>
        <v>1</v>
      </c>
      <c r="AY9" s="118">
        <f aca="true" t="shared" si="8" ref="AY9:BJ9">($G$9/12)*O9</f>
        <v>7500</v>
      </c>
      <c r="AZ9" s="121">
        <f t="shared" si="8"/>
        <v>7500</v>
      </c>
      <c r="BA9" s="121">
        <f t="shared" si="8"/>
        <v>7500</v>
      </c>
      <c r="BB9" s="121">
        <f t="shared" si="8"/>
        <v>7500</v>
      </c>
      <c r="BC9" s="121">
        <f t="shared" si="8"/>
        <v>7500</v>
      </c>
      <c r="BD9" s="121">
        <f t="shared" si="8"/>
        <v>7500</v>
      </c>
      <c r="BE9" s="121">
        <f t="shared" si="8"/>
        <v>7500</v>
      </c>
      <c r="BF9" s="121">
        <f t="shared" si="8"/>
        <v>7500</v>
      </c>
      <c r="BG9" s="121">
        <f t="shared" si="8"/>
        <v>7500</v>
      </c>
      <c r="BH9" s="121">
        <f t="shared" si="8"/>
        <v>7500</v>
      </c>
      <c r="BI9" s="121">
        <f t="shared" si="8"/>
        <v>7500</v>
      </c>
      <c r="BJ9" s="121">
        <f t="shared" si="8"/>
        <v>7500</v>
      </c>
      <c r="BK9" s="121">
        <f>($H$9/12)*AA9</f>
        <v>7800</v>
      </c>
      <c r="BL9" s="121">
        <f aca="true" t="shared" si="9" ref="BL9:BV9">($H$9/12)*AB9</f>
        <v>7800</v>
      </c>
      <c r="BM9" s="121">
        <f t="shared" si="9"/>
        <v>7800</v>
      </c>
      <c r="BN9" s="121">
        <f t="shared" si="9"/>
        <v>7800</v>
      </c>
      <c r="BO9" s="121">
        <f t="shared" si="9"/>
        <v>7800</v>
      </c>
      <c r="BP9" s="121">
        <f t="shared" si="9"/>
        <v>7800</v>
      </c>
      <c r="BQ9" s="121">
        <f t="shared" si="9"/>
        <v>7800</v>
      </c>
      <c r="BR9" s="121">
        <f t="shared" si="9"/>
        <v>7800</v>
      </c>
      <c r="BS9" s="121">
        <f t="shared" si="9"/>
        <v>7800</v>
      </c>
      <c r="BT9" s="121">
        <f t="shared" si="9"/>
        <v>7800</v>
      </c>
      <c r="BU9" s="121">
        <f t="shared" si="9"/>
        <v>7800</v>
      </c>
      <c r="BV9" s="121">
        <f t="shared" si="9"/>
        <v>7800</v>
      </c>
      <c r="BW9" s="121">
        <f>($I$9/12)*AM9</f>
        <v>8112</v>
      </c>
      <c r="BX9" s="121">
        <f aca="true" t="shared" si="10" ref="BX9:CH15">($I$9/12)*AN9</f>
        <v>8112</v>
      </c>
      <c r="BY9" s="121">
        <f t="shared" si="10"/>
        <v>8112</v>
      </c>
      <c r="BZ9" s="121">
        <f t="shared" si="10"/>
        <v>8112</v>
      </c>
      <c r="CA9" s="121">
        <f t="shared" si="10"/>
        <v>8112</v>
      </c>
      <c r="CB9" s="121">
        <f t="shared" si="10"/>
        <v>8112</v>
      </c>
      <c r="CC9" s="121">
        <f t="shared" si="10"/>
        <v>8112</v>
      </c>
      <c r="CD9" s="121">
        <f t="shared" si="10"/>
        <v>8112</v>
      </c>
      <c r="CE9" s="121">
        <f t="shared" si="10"/>
        <v>8112</v>
      </c>
      <c r="CF9" s="121">
        <f t="shared" si="10"/>
        <v>8112</v>
      </c>
      <c r="CG9" s="121">
        <f t="shared" si="10"/>
        <v>8112</v>
      </c>
      <c r="CH9" s="122">
        <f t="shared" si="10"/>
        <v>8112</v>
      </c>
    </row>
    <row r="10" spans="1:88" ht="13.5">
      <c r="A10" s="123" t="s">
        <v>132</v>
      </c>
      <c r="B10" s="124">
        <v>1</v>
      </c>
      <c r="C10" s="83">
        <v>2</v>
      </c>
      <c r="D10" s="83">
        <v>2</v>
      </c>
      <c r="E10" s="125"/>
      <c r="F10" s="68">
        <v>75000</v>
      </c>
      <c r="G10" s="126">
        <f>F10</f>
        <v>75000</v>
      </c>
      <c r="H10" s="126">
        <f t="shared" si="1"/>
        <v>78000</v>
      </c>
      <c r="I10" s="126">
        <f t="shared" si="2"/>
        <v>81120</v>
      </c>
      <c r="J10" s="125"/>
      <c r="K10" s="127">
        <f>SUM(AY10:BJ10)</f>
        <v>75000</v>
      </c>
      <c r="L10" s="128">
        <f>SUM(BK10:BV10)</f>
        <v>156000</v>
      </c>
      <c r="M10" s="128">
        <f>SUM(BW10:CH10)</f>
        <v>162240</v>
      </c>
      <c r="N10" s="125"/>
      <c r="O10" s="129">
        <f>$B$10</f>
        <v>1</v>
      </c>
      <c r="P10" s="129">
        <f aca="true" t="shared" si="11" ref="P10:Z10">$B$10</f>
        <v>1</v>
      </c>
      <c r="Q10" s="129">
        <f t="shared" si="11"/>
        <v>1</v>
      </c>
      <c r="R10" s="129">
        <f t="shared" si="11"/>
        <v>1</v>
      </c>
      <c r="S10" s="129">
        <f t="shared" si="11"/>
        <v>1</v>
      </c>
      <c r="T10" s="129">
        <f t="shared" si="11"/>
        <v>1</v>
      </c>
      <c r="U10" s="129">
        <f t="shared" si="11"/>
        <v>1</v>
      </c>
      <c r="V10" s="129">
        <f t="shared" si="11"/>
        <v>1</v>
      </c>
      <c r="W10" s="129">
        <f t="shared" si="11"/>
        <v>1</v>
      </c>
      <c r="X10" s="129">
        <f t="shared" si="11"/>
        <v>1</v>
      </c>
      <c r="Y10" s="129">
        <f t="shared" si="11"/>
        <v>1</v>
      </c>
      <c r="Z10" s="129">
        <f t="shared" si="11"/>
        <v>1</v>
      </c>
      <c r="AA10" s="129">
        <f>$C$10</f>
        <v>2</v>
      </c>
      <c r="AB10" s="129">
        <f aca="true" t="shared" si="12" ref="AB10:AL10">$C$10</f>
        <v>2</v>
      </c>
      <c r="AC10" s="129">
        <f t="shared" si="12"/>
        <v>2</v>
      </c>
      <c r="AD10" s="129">
        <f t="shared" si="12"/>
        <v>2</v>
      </c>
      <c r="AE10" s="129">
        <f t="shared" si="12"/>
        <v>2</v>
      </c>
      <c r="AF10" s="129">
        <f t="shared" si="12"/>
        <v>2</v>
      </c>
      <c r="AG10" s="129">
        <f t="shared" si="12"/>
        <v>2</v>
      </c>
      <c r="AH10" s="129">
        <f t="shared" si="12"/>
        <v>2</v>
      </c>
      <c r="AI10" s="129">
        <f t="shared" si="12"/>
        <v>2</v>
      </c>
      <c r="AJ10" s="129">
        <f t="shared" si="12"/>
        <v>2</v>
      </c>
      <c r="AK10" s="129">
        <f t="shared" si="12"/>
        <v>2</v>
      </c>
      <c r="AL10" s="129">
        <f t="shared" si="12"/>
        <v>2</v>
      </c>
      <c r="AM10" s="129">
        <f>$D$10</f>
        <v>2</v>
      </c>
      <c r="AN10" s="129">
        <f aca="true" t="shared" si="13" ref="AN10:AX10">$D$10</f>
        <v>2</v>
      </c>
      <c r="AO10" s="129">
        <f t="shared" si="13"/>
        <v>2</v>
      </c>
      <c r="AP10" s="129">
        <f t="shared" si="13"/>
        <v>2</v>
      </c>
      <c r="AQ10" s="129">
        <f t="shared" si="13"/>
        <v>2</v>
      </c>
      <c r="AR10" s="129">
        <f t="shared" si="13"/>
        <v>2</v>
      </c>
      <c r="AS10" s="129">
        <f t="shared" si="13"/>
        <v>2</v>
      </c>
      <c r="AT10" s="129">
        <f t="shared" si="13"/>
        <v>2</v>
      </c>
      <c r="AU10" s="129">
        <f t="shared" si="13"/>
        <v>2</v>
      </c>
      <c r="AV10" s="129">
        <f t="shared" si="13"/>
        <v>2</v>
      </c>
      <c r="AW10" s="129">
        <f t="shared" si="13"/>
        <v>2</v>
      </c>
      <c r="AX10" s="129">
        <f t="shared" si="13"/>
        <v>2</v>
      </c>
      <c r="AY10" s="130">
        <f>($G$10/12)*O10</f>
        <v>6250</v>
      </c>
      <c r="AZ10" s="130">
        <f aca="true" t="shared" si="14" ref="AZ10:BJ10">($G$10/12)*P10</f>
        <v>6250</v>
      </c>
      <c r="BA10" s="130">
        <f t="shared" si="14"/>
        <v>6250</v>
      </c>
      <c r="BB10" s="130">
        <f t="shared" si="14"/>
        <v>6250</v>
      </c>
      <c r="BC10" s="130">
        <f t="shared" si="14"/>
        <v>6250</v>
      </c>
      <c r="BD10" s="130">
        <f t="shared" si="14"/>
        <v>6250</v>
      </c>
      <c r="BE10" s="130">
        <f t="shared" si="14"/>
        <v>6250</v>
      </c>
      <c r="BF10" s="130">
        <f t="shared" si="14"/>
        <v>6250</v>
      </c>
      <c r="BG10" s="130">
        <f t="shared" si="14"/>
        <v>6250</v>
      </c>
      <c r="BH10" s="130">
        <f t="shared" si="14"/>
        <v>6250</v>
      </c>
      <c r="BI10" s="130">
        <f t="shared" si="14"/>
        <v>6250</v>
      </c>
      <c r="BJ10" s="130">
        <f t="shared" si="14"/>
        <v>6250</v>
      </c>
      <c r="BK10" s="126">
        <f>($H$10/12)*AA10</f>
        <v>13000</v>
      </c>
      <c r="BL10" s="126">
        <f aca="true" t="shared" si="15" ref="BL10:BV10">($H$10/12)*AB10</f>
        <v>13000</v>
      </c>
      <c r="BM10" s="126">
        <f t="shared" si="15"/>
        <v>13000</v>
      </c>
      <c r="BN10" s="126">
        <f t="shared" si="15"/>
        <v>13000</v>
      </c>
      <c r="BO10" s="126">
        <f t="shared" si="15"/>
        <v>13000</v>
      </c>
      <c r="BP10" s="126">
        <f t="shared" si="15"/>
        <v>13000</v>
      </c>
      <c r="BQ10" s="126">
        <f t="shared" si="15"/>
        <v>13000</v>
      </c>
      <c r="BR10" s="126">
        <f t="shared" si="15"/>
        <v>13000</v>
      </c>
      <c r="BS10" s="126">
        <f t="shared" si="15"/>
        <v>13000</v>
      </c>
      <c r="BT10" s="126">
        <f t="shared" si="15"/>
        <v>13000</v>
      </c>
      <c r="BU10" s="126">
        <f t="shared" si="15"/>
        <v>13000</v>
      </c>
      <c r="BV10" s="126">
        <f t="shared" si="15"/>
        <v>13000</v>
      </c>
      <c r="BW10" s="126">
        <f>($I$10/12)*AM10</f>
        <v>13520</v>
      </c>
      <c r="BX10" s="126">
        <f aca="true" t="shared" si="16" ref="BX10:CH10">($I$10/12)*AN10</f>
        <v>13520</v>
      </c>
      <c r="BY10" s="126">
        <f t="shared" si="16"/>
        <v>13520</v>
      </c>
      <c r="BZ10" s="126">
        <f t="shared" si="16"/>
        <v>13520</v>
      </c>
      <c r="CA10" s="126">
        <f t="shared" si="16"/>
        <v>13520</v>
      </c>
      <c r="CB10" s="126">
        <f t="shared" si="16"/>
        <v>13520</v>
      </c>
      <c r="CC10" s="126">
        <f t="shared" si="16"/>
        <v>13520</v>
      </c>
      <c r="CD10" s="126">
        <f t="shared" si="16"/>
        <v>13520</v>
      </c>
      <c r="CE10" s="126">
        <f t="shared" si="16"/>
        <v>13520</v>
      </c>
      <c r="CF10" s="126">
        <f t="shared" si="16"/>
        <v>13520</v>
      </c>
      <c r="CG10" s="126">
        <f t="shared" si="16"/>
        <v>13520</v>
      </c>
      <c r="CH10" s="126">
        <f t="shared" si="16"/>
        <v>13520</v>
      </c>
      <c r="CI10" s="126"/>
      <c r="CJ10" s="126"/>
    </row>
    <row r="11" spans="1:88" ht="13.5">
      <c r="A11" s="123" t="s">
        <v>133</v>
      </c>
      <c r="B11" s="124">
        <v>1</v>
      </c>
      <c r="C11" s="83">
        <v>2</v>
      </c>
      <c r="D11" s="83">
        <v>4</v>
      </c>
      <c r="E11" s="125"/>
      <c r="F11" s="68">
        <v>65000</v>
      </c>
      <c r="G11" s="126">
        <f>F11</f>
        <v>65000</v>
      </c>
      <c r="H11" s="126">
        <f t="shared" si="1"/>
        <v>67600</v>
      </c>
      <c r="I11" s="126">
        <f t="shared" si="2"/>
        <v>70304</v>
      </c>
      <c r="J11" s="125"/>
      <c r="K11" s="127">
        <f>SUM(AY11:BJ11)</f>
        <v>64999.99999999999</v>
      </c>
      <c r="L11" s="128">
        <f>SUM(BK11:BV11)</f>
        <v>135200.00000000003</v>
      </c>
      <c r="M11" s="128">
        <f>SUM(BW11:CH11)</f>
        <v>281215.99999999994</v>
      </c>
      <c r="N11" s="125"/>
      <c r="O11" s="129">
        <f aca="true" t="shared" si="17" ref="O11:Z11">$B$11</f>
        <v>1</v>
      </c>
      <c r="P11" s="40">
        <f t="shared" si="17"/>
        <v>1</v>
      </c>
      <c r="Q11" s="40">
        <f t="shared" si="17"/>
        <v>1</v>
      </c>
      <c r="R11" s="40">
        <f t="shared" si="17"/>
        <v>1</v>
      </c>
      <c r="S11" s="40">
        <f t="shared" si="17"/>
        <v>1</v>
      </c>
      <c r="T11" s="40">
        <f t="shared" si="17"/>
        <v>1</v>
      </c>
      <c r="U11" s="40">
        <f t="shared" si="17"/>
        <v>1</v>
      </c>
      <c r="V11" s="40">
        <f t="shared" si="17"/>
        <v>1</v>
      </c>
      <c r="W11" s="40">
        <f t="shared" si="17"/>
        <v>1</v>
      </c>
      <c r="X11" s="40">
        <f t="shared" si="17"/>
        <v>1</v>
      </c>
      <c r="Y11" s="40">
        <f t="shared" si="17"/>
        <v>1</v>
      </c>
      <c r="Z11" s="40">
        <f t="shared" si="17"/>
        <v>1</v>
      </c>
      <c r="AA11" s="40">
        <f aca="true" t="shared" si="18" ref="AA11:AL11">$C$11</f>
        <v>2</v>
      </c>
      <c r="AB11" s="40">
        <f t="shared" si="18"/>
        <v>2</v>
      </c>
      <c r="AC11" s="40">
        <f t="shared" si="18"/>
        <v>2</v>
      </c>
      <c r="AD11" s="40">
        <f t="shared" si="18"/>
        <v>2</v>
      </c>
      <c r="AE11" s="40">
        <f t="shared" si="18"/>
        <v>2</v>
      </c>
      <c r="AF11" s="40">
        <f t="shared" si="18"/>
        <v>2</v>
      </c>
      <c r="AG11" s="40">
        <f t="shared" si="18"/>
        <v>2</v>
      </c>
      <c r="AH11" s="40">
        <f t="shared" si="18"/>
        <v>2</v>
      </c>
      <c r="AI11" s="40">
        <f t="shared" si="18"/>
        <v>2</v>
      </c>
      <c r="AJ11" s="40">
        <f t="shared" si="18"/>
        <v>2</v>
      </c>
      <c r="AK11" s="40">
        <f t="shared" si="18"/>
        <v>2</v>
      </c>
      <c r="AL11" s="40">
        <f t="shared" si="18"/>
        <v>2</v>
      </c>
      <c r="AM11" s="40">
        <f aca="true" t="shared" si="19" ref="AM11:AX11">$D$11</f>
        <v>4</v>
      </c>
      <c r="AN11" s="40">
        <f t="shared" si="19"/>
        <v>4</v>
      </c>
      <c r="AO11" s="40">
        <f t="shared" si="19"/>
        <v>4</v>
      </c>
      <c r="AP11" s="40">
        <f t="shared" si="19"/>
        <v>4</v>
      </c>
      <c r="AQ11" s="40">
        <f t="shared" si="19"/>
        <v>4</v>
      </c>
      <c r="AR11" s="40">
        <f t="shared" si="19"/>
        <v>4</v>
      </c>
      <c r="AS11" s="40">
        <f t="shared" si="19"/>
        <v>4</v>
      </c>
      <c r="AT11" s="40">
        <f t="shared" si="19"/>
        <v>4</v>
      </c>
      <c r="AU11" s="40">
        <f t="shared" si="19"/>
        <v>4</v>
      </c>
      <c r="AV11" s="40">
        <f t="shared" si="19"/>
        <v>4</v>
      </c>
      <c r="AW11" s="40">
        <f t="shared" si="19"/>
        <v>4</v>
      </c>
      <c r="AX11" s="40">
        <f t="shared" si="19"/>
        <v>4</v>
      </c>
      <c r="AY11" s="130">
        <f aca="true" t="shared" si="20" ref="AY11:BJ11">($G$11/12)*O11</f>
        <v>5416.666666666667</v>
      </c>
      <c r="AZ11" s="126">
        <f t="shared" si="20"/>
        <v>5416.666666666667</v>
      </c>
      <c r="BA11" s="126">
        <f t="shared" si="20"/>
        <v>5416.666666666667</v>
      </c>
      <c r="BB11" s="126">
        <f t="shared" si="20"/>
        <v>5416.666666666667</v>
      </c>
      <c r="BC11" s="126">
        <f t="shared" si="20"/>
        <v>5416.666666666667</v>
      </c>
      <c r="BD11" s="126">
        <f t="shared" si="20"/>
        <v>5416.666666666667</v>
      </c>
      <c r="BE11" s="126">
        <f t="shared" si="20"/>
        <v>5416.666666666667</v>
      </c>
      <c r="BF11" s="126">
        <f t="shared" si="20"/>
        <v>5416.666666666667</v>
      </c>
      <c r="BG11" s="126">
        <f t="shared" si="20"/>
        <v>5416.666666666667</v>
      </c>
      <c r="BH11" s="126">
        <f t="shared" si="20"/>
        <v>5416.666666666667</v>
      </c>
      <c r="BI11" s="126">
        <f t="shared" si="20"/>
        <v>5416.666666666667</v>
      </c>
      <c r="BJ11" s="126">
        <f t="shared" si="20"/>
        <v>5416.666666666667</v>
      </c>
      <c r="BK11" s="126">
        <f aca="true" t="shared" si="21" ref="BK11:BV11">($H$11/12)*AA11</f>
        <v>11266.666666666666</v>
      </c>
      <c r="BL11" s="126">
        <f t="shared" si="21"/>
        <v>11266.666666666666</v>
      </c>
      <c r="BM11" s="126">
        <f t="shared" si="21"/>
        <v>11266.666666666666</v>
      </c>
      <c r="BN11" s="126">
        <f t="shared" si="21"/>
        <v>11266.666666666666</v>
      </c>
      <c r="BO11" s="126">
        <f t="shared" si="21"/>
        <v>11266.666666666666</v>
      </c>
      <c r="BP11" s="126">
        <f t="shared" si="21"/>
        <v>11266.666666666666</v>
      </c>
      <c r="BQ11" s="126">
        <f t="shared" si="21"/>
        <v>11266.666666666666</v>
      </c>
      <c r="BR11" s="126">
        <f t="shared" si="21"/>
        <v>11266.666666666666</v>
      </c>
      <c r="BS11" s="126">
        <f t="shared" si="21"/>
        <v>11266.666666666666</v>
      </c>
      <c r="BT11" s="126">
        <f t="shared" si="21"/>
        <v>11266.666666666666</v>
      </c>
      <c r="BU11" s="126">
        <f t="shared" si="21"/>
        <v>11266.666666666666</v>
      </c>
      <c r="BV11" s="126">
        <f t="shared" si="21"/>
        <v>11266.666666666666</v>
      </c>
      <c r="BW11" s="126">
        <f aca="true" t="shared" si="22" ref="BW11:CH11">($I$11/12)*AM11</f>
        <v>23434.666666666668</v>
      </c>
      <c r="BX11" s="126">
        <f t="shared" si="22"/>
        <v>23434.666666666668</v>
      </c>
      <c r="BY11" s="126">
        <f t="shared" si="22"/>
        <v>23434.666666666668</v>
      </c>
      <c r="BZ11" s="126">
        <f t="shared" si="22"/>
        <v>23434.666666666668</v>
      </c>
      <c r="CA11" s="126">
        <f t="shared" si="22"/>
        <v>23434.666666666668</v>
      </c>
      <c r="CB11" s="126">
        <f t="shared" si="22"/>
        <v>23434.666666666668</v>
      </c>
      <c r="CC11" s="126">
        <f t="shared" si="22"/>
        <v>23434.666666666668</v>
      </c>
      <c r="CD11" s="126">
        <f t="shared" si="22"/>
        <v>23434.666666666668</v>
      </c>
      <c r="CE11" s="126">
        <f t="shared" si="22"/>
        <v>23434.666666666668</v>
      </c>
      <c r="CF11" s="126">
        <f t="shared" si="22"/>
        <v>23434.666666666668</v>
      </c>
      <c r="CG11" s="126">
        <f t="shared" si="22"/>
        <v>23434.666666666668</v>
      </c>
      <c r="CH11" s="131">
        <f t="shared" si="22"/>
        <v>23434.666666666668</v>
      </c>
      <c r="CI11" s="126"/>
      <c r="CJ11" s="126"/>
    </row>
    <row r="12" spans="1:88" ht="13.5">
      <c r="A12" s="123" t="s">
        <v>137</v>
      </c>
      <c r="B12" s="124">
        <v>3</v>
      </c>
      <c r="C12" s="83">
        <v>6</v>
      </c>
      <c r="D12" s="83">
        <v>8</v>
      </c>
      <c r="E12" s="125"/>
      <c r="F12" s="68">
        <v>45000</v>
      </c>
      <c r="G12" s="126">
        <f>F12</f>
        <v>45000</v>
      </c>
      <c r="H12" s="126">
        <f t="shared" si="1"/>
        <v>46800</v>
      </c>
      <c r="I12" s="126">
        <f t="shared" si="2"/>
        <v>48672</v>
      </c>
      <c r="J12" s="125"/>
      <c r="K12" s="127">
        <f>SUM(AY12:BJ12)</f>
        <v>135000</v>
      </c>
      <c r="L12" s="128">
        <f>SUM(BK12:BV12)</f>
        <v>270000</v>
      </c>
      <c r="M12" s="128">
        <f>SUM(BW12:CH12)</f>
        <v>360000</v>
      </c>
      <c r="N12" s="125"/>
      <c r="O12" s="129">
        <f aca="true" t="shared" si="23" ref="O12:Z12">$B$12</f>
        <v>3</v>
      </c>
      <c r="P12" s="129">
        <f t="shared" si="23"/>
        <v>3</v>
      </c>
      <c r="Q12" s="129">
        <f t="shared" si="23"/>
        <v>3</v>
      </c>
      <c r="R12" s="129">
        <f t="shared" si="23"/>
        <v>3</v>
      </c>
      <c r="S12" s="129">
        <f t="shared" si="23"/>
        <v>3</v>
      </c>
      <c r="T12" s="129">
        <f t="shared" si="23"/>
        <v>3</v>
      </c>
      <c r="U12" s="129">
        <f t="shared" si="23"/>
        <v>3</v>
      </c>
      <c r="V12" s="129">
        <f t="shared" si="23"/>
        <v>3</v>
      </c>
      <c r="W12" s="129">
        <f t="shared" si="23"/>
        <v>3</v>
      </c>
      <c r="X12" s="129">
        <f t="shared" si="23"/>
        <v>3</v>
      </c>
      <c r="Y12" s="129">
        <f t="shared" si="23"/>
        <v>3</v>
      </c>
      <c r="Z12" s="129">
        <f t="shared" si="23"/>
        <v>3</v>
      </c>
      <c r="AA12" s="129">
        <f aca="true" t="shared" si="24" ref="AA12:AL12">$C$12</f>
        <v>6</v>
      </c>
      <c r="AB12" s="129">
        <f t="shared" si="24"/>
        <v>6</v>
      </c>
      <c r="AC12" s="129">
        <f t="shared" si="24"/>
        <v>6</v>
      </c>
      <c r="AD12" s="129">
        <f t="shared" si="24"/>
        <v>6</v>
      </c>
      <c r="AE12" s="129">
        <f t="shared" si="24"/>
        <v>6</v>
      </c>
      <c r="AF12" s="129">
        <f t="shared" si="24"/>
        <v>6</v>
      </c>
      <c r="AG12" s="129">
        <f t="shared" si="24"/>
        <v>6</v>
      </c>
      <c r="AH12" s="129">
        <f t="shared" si="24"/>
        <v>6</v>
      </c>
      <c r="AI12" s="129">
        <f t="shared" si="24"/>
        <v>6</v>
      </c>
      <c r="AJ12" s="129">
        <f t="shared" si="24"/>
        <v>6</v>
      </c>
      <c r="AK12" s="129">
        <f t="shared" si="24"/>
        <v>6</v>
      </c>
      <c r="AL12" s="129">
        <f t="shared" si="24"/>
        <v>6</v>
      </c>
      <c r="AM12" s="129">
        <f aca="true" t="shared" si="25" ref="AM12:AX12">$D$12</f>
        <v>8</v>
      </c>
      <c r="AN12" s="129">
        <f t="shared" si="25"/>
        <v>8</v>
      </c>
      <c r="AO12" s="129">
        <f t="shared" si="25"/>
        <v>8</v>
      </c>
      <c r="AP12" s="129">
        <f t="shared" si="25"/>
        <v>8</v>
      </c>
      <c r="AQ12" s="129">
        <f t="shared" si="25"/>
        <v>8</v>
      </c>
      <c r="AR12" s="129">
        <f t="shared" si="25"/>
        <v>8</v>
      </c>
      <c r="AS12" s="129">
        <f t="shared" si="25"/>
        <v>8</v>
      </c>
      <c r="AT12" s="129">
        <f t="shared" si="25"/>
        <v>8</v>
      </c>
      <c r="AU12" s="129">
        <f t="shared" si="25"/>
        <v>8</v>
      </c>
      <c r="AV12" s="129">
        <f t="shared" si="25"/>
        <v>8</v>
      </c>
      <c r="AW12" s="129">
        <f t="shared" si="25"/>
        <v>8</v>
      </c>
      <c r="AX12" s="129">
        <f t="shared" si="25"/>
        <v>8</v>
      </c>
      <c r="AY12" s="130">
        <f aca="true" t="shared" si="26" ref="AY12:CH12">($G$12/12)*O12</f>
        <v>11250</v>
      </c>
      <c r="AZ12" s="130">
        <f t="shared" si="26"/>
        <v>11250</v>
      </c>
      <c r="BA12" s="130">
        <f t="shared" si="26"/>
        <v>11250</v>
      </c>
      <c r="BB12" s="130">
        <f t="shared" si="26"/>
        <v>11250</v>
      </c>
      <c r="BC12" s="130">
        <f t="shared" si="26"/>
        <v>11250</v>
      </c>
      <c r="BD12" s="130">
        <f t="shared" si="26"/>
        <v>11250</v>
      </c>
      <c r="BE12" s="130">
        <f t="shared" si="26"/>
        <v>11250</v>
      </c>
      <c r="BF12" s="130">
        <f t="shared" si="26"/>
        <v>11250</v>
      </c>
      <c r="BG12" s="130">
        <f t="shared" si="26"/>
        <v>11250</v>
      </c>
      <c r="BH12" s="130">
        <f t="shared" si="26"/>
        <v>11250</v>
      </c>
      <c r="BI12" s="130">
        <f t="shared" si="26"/>
        <v>11250</v>
      </c>
      <c r="BJ12" s="130">
        <f t="shared" si="26"/>
        <v>11250</v>
      </c>
      <c r="BK12" s="130">
        <f t="shared" si="26"/>
        <v>22500</v>
      </c>
      <c r="BL12" s="130">
        <f t="shared" si="26"/>
        <v>22500</v>
      </c>
      <c r="BM12" s="130">
        <f t="shared" si="26"/>
        <v>22500</v>
      </c>
      <c r="BN12" s="130">
        <f t="shared" si="26"/>
        <v>22500</v>
      </c>
      <c r="BO12" s="130">
        <f t="shared" si="26"/>
        <v>22500</v>
      </c>
      <c r="BP12" s="130">
        <f t="shared" si="26"/>
        <v>22500</v>
      </c>
      <c r="BQ12" s="130">
        <f t="shared" si="26"/>
        <v>22500</v>
      </c>
      <c r="BR12" s="130">
        <f t="shared" si="26"/>
        <v>22500</v>
      </c>
      <c r="BS12" s="130">
        <f t="shared" si="26"/>
        <v>22500</v>
      </c>
      <c r="BT12" s="130">
        <f t="shared" si="26"/>
        <v>22500</v>
      </c>
      <c r="BU12" s="130">
        <f t="shared" si="26"/>
        <v>22500</v>
      </c>
      <c r="BV12" s="130">
        <f t="shared" si="26"/>
        <v>22500</v>
      </c>
      <c r="BW12" s="130">
        <f t="shared" si="26"/>
        <v>30000</v>
      </c>
      <c r="BX12" s="130">
        <f t="shared" si="26"/>
        <v>30000</v>
      </c>
      <c r="BY12" s="130">
        <f t="shared" si="26"/>
        <v>30000</v>
      </c>
      <c r="BZ12" s="130">
        <f t="shared" si="26"/>
        <v>30000</v>
      </c>
      <c r="CA12" s="130">
        <f t="shared" si="26"/>
        <v>30000</v>
      </c>
      <c r="CB12" s="130">
        <f t="shared" si="26"/>
        <v>30000</v>
      </c>
      <c r="CC12" s="130">
        <f t="shared" si="26"/>
        <v>30000</v>
      </c>
      <c r="CD12" s="130">
        <f t="shared" si="26"/>
        <v>30000</v>
      </c>
      <c r="CE12" s="130">
        <f t="shared" si="26"/>
        <v>30000</v>
      </c>
      <c r="CF12" s="130">
        <f t="shared" si="26"/>
        <v>30000</v>
      </c>
      <c r="CG12" s="130">
        <f t="shared" si="26"/>
        <v>30000</v>
      </c>
      <c r="CH12" s="136">
        <f t="shared" si="26"/>
        <v>30000</v>
      </c>
      <c r="CI12" s="126"/>
      <c r="CJ12" s="126"/>
    </row>
    <row r="13" spans="1:86" ht="13.5">
      <c r="A13" s="175" t="s">
        <v>139</v>
      </c>
      <c r="B13" s="124">
        <v>1</v>
      </c>
      <c r="C13" s="83">
        <v>1</v>
      </c>
      <c r="D13" s="83">
        <v>1</v>
      </c>
      <c r="E13" s="125"/>
      <c r="F13" s="68">
        <v>75000</v>
      </c>
      <c r="G13" s="126">
        <f t="shared" si="0"/>
        <v>75000</v>
      </c>
      <c r="H13" s="126">
        <f t="shared" si="1"/>
        <v>78000</v>
      </c>
      <c r="I13" s="126">
        <f t="shared" si="2"/>
        <v>81120</v>
      </c>
      <c r="J13" s="125"/>
      <c r="K13" s="127">
        <f aca="true" t="shared" si="27" ref="K13:K19">SUM(AY13:BJ13)</f>
        <v>75000</v>
      </c>
      <c r="L13" s="128">
        <f t="shared" si="3"/>
        <v>78000</v>
      </c>
      <c r="M13" s="128">
        <f t="shared" si="4"/>
        <v>94640</v>
      </c>
      <c r="N13" s="125"/>
      <c r="O13" s="129">
        <f>$B$13</f>
        <v>1</v>
      </c>
      <c r="P13" s="40">
        <f aca="true" t="shared" si="28" ref="P13:Z13">$B$13</f>
        <v>1</v>
      </c>
      <c r="Q13" s="40">
        <f t="shared" si="28"/>
        <v>1</v>
      </c>
      <c r="R13" s="40">
        <f t="shared" si="28"/>
        <v>1</v>
      </c>
      <c r="S13" s="40">
        <f t="shared" si="28"/>
        <v>1</v>
      </c>
      <c r="T13" s="40">
        <f t="shared" si="28"/>
        <v>1</v>
      </c>
      <c r="U13" s="40">
        <f t="shared" si="28"/>
        <v>1</v>
      </c>
      <c r="V13" s="40">
        <f t="shared" si="28"/>
        <v>1</v>
      </c>
      <c r="W13" s="40">
        <f t="shared" si="28"/>
        <v>1</v>
      </c>
      <c r="X13" s="40">
        <f t="shared" si="28"/>
        <v>1</v>
      </c>
      <c r="Y13" s="40">
        <f t="shared" si="28"/>
        <v>1</v>
      </c>
      <c r="Z13" s="40">
        <f t="shared" si="28"/>
        <v>1</v>
      </c>
      <c r="AA13" s="40">
        <f>$C$13</f>
        <v>1</v>
      </c>
      <c r="AB13" s="40">
        <f aca="true" t="shared" si="29" ref="AB13:AL13">$C$13</f>
        <v>1</v>
      </c>
      <c r="AC13" s="40">
        <f t="shared" si="29"/>
        <v>1</v>
      </c>
      <c r="AD13" s="40">
        <f t="shared" si="29"/>
        <v>1</v>
      </c>
      <c r="AE13" s="40">
        <f t="shared" si="29"/>
        <v>1</v>
      </c>
      <c r="AF13" s="40">
        <f t="shared" si="29"/>
        <v>1</v>
      </c>
      <c r="AG13" s="40">
        <f t="shared" si="29"/>
        <v>1</v>
      </c>
      <c r="AH13" s="40">
        <f t="shared" si="29"/>
        <v>1</v>
      </c>
      <c r="AI13" s="40">
        <f t="shared" si="29"/>
        <v>1</v>
      </c>
      <c r="AJ13" s="40">
        <f t="shared" si="29"/>
        <v>1</v>
      </c>
      <c r="AK13" s="40">
        <f t="shared" si="29"/>
        <v>1</v>
      </c>
      <c r="AL13" s="40">
        <f t="shared" si="29"/>
        <v>1</v>
      </c>
      <c r="AM13" s="40">
        <f>$D$13</f>
        <v>1</v>
      </c>
      <c r="AN13" s="40">
        <f aca="true" t="shared" si="30" ref="AN13:AX13">$D$13</f>
        <v>1</v>
      </c>
      <c r="AO13" s="40">
        <f t="shared" si="30"/>
        <v>1</v>
      </c>
      <c r="AP13" s="40">
        <f t="shared" si="30"/>
        <v>1</v>
      </c>
      <c r="AQ13" s="40">
        <f t="shared" si="30"/>
        <v>1</v>
      </c>
      <c r="AR13" s="40">
        <f t="shared" si="30"/>
        <v>1</v>
      </c>
      <c r="AS13" s="40">
        <f t="shared" si="30"/>
        <v>1</v>
      </c>
      <c r="AT13" s="40">
        <f t="shared" si="30"/>
        <v>1</v>
      </c>
      <c r="AU13" s="40">
        <f t="shared" si="30"/>
        <v>1</v>
      </c>
      <c r="AV13" s="40">
        <f t="shared" si="30"/>
        <v>1</v>
      </c>
      <c r="AW13" s="40">
        <f t="shared" si="30"/>
        <v>1</v>
      </c>
      <c r="AX13" s="40">
        <f t="shared" si="30"/>
        <v>1</v>
      </c>
      <c r="AY13" s="130">
        <f>($G$13/12)*O13</f>
        <v>6250</v>
      </c>
      <c r="AZ13" s="126">
        <f aca="true" t="shared" si="31" ref="AZ13:BJ13">($G$13/12)*P13</f>
        <v>6250</v>
      </c>
      <c r="BA13" s="126">
        <f t="shared" si="31"/>
        <v>6250</v>
      </c>
      <c r="BB13" s="126">
        <f t="shared" si="31"/>
        <v>6250</v>
      </c>
      <c r="BC13" s="126">
        <f t="shared" si="31"/>
        <v>6250</v>
      </c>
      <c r="BD13" s="126">
        <f t="shared" si="31"/>
        <v>6250</v>
      </c>
      <c r="BE13" s="126">
        <f t="shared" si="31"/>
        <v>6250</v>
      </c>
      <c r="BF13" s="126">
        <f t="shared" si="31"/>
        <v>6250</v>
      </c>
      <c r="BG13" s="126">
        <f t="shared" si="31"/>
        <v>6250</v>
      </c>
      <c r="BH13" s="126">
        <f t="shared" si="31"/>
        <v>6250</v>
      </c>
      <c r="BI13" s="126">
        <f t="shared" si="31"/>
        <v>6250</v>
      </c>
      <c r="BJ13" s="126">
        <f t="shared" si="31"/>
        <v>6250</v>
      </c>
      <c r="BK13" s="126">
        <f>($H$13/12)*AA13</f>
        <v>6500</v>
      </c>
      <c r="BL13" s="126">
        <f aca="true" t="shared" si="32" ref="BL13:BV13">($H$13/12)*AB13</f>
        <v>6500</v>
      </c>
      <c r="BM13" s="126">
        <f t="shared" si="32"/>
        <v>6500</v>
      </c>
      <c r="BN13" s="126">
        <f t="shared" si="32"/>
        <v>6500</v>
      </c>
      <c r="BO13" s="126">
        <f t="shared" si="32"/>
        <v>6500</v>
      </c>
      <c r="BP13" s="126">
        <f t="shared" si="32"/>
        <v>6500</v>
      </c>
      <c r="BQ13" s="126">
        <f t="shared" si="32"/>
        <v>6500</v>
      </c>
      <c r="BR13" s="126">
        <f t="shared" si="32"/>
        <v>6500</v>
      </c>
      <c r="BS13" s="126">
        <f t="shared" si="32"/>
        <v>6500</v>
      </c>
      <c r="BT13" s="126">
        <f t="shared" si="32"/>
        <v>6500</v>
      </c>
      <c r="BU13" s="126">
        <f t="shared" si="32"/>
        <v>6500</v>
      </c>
      <c r="BV13" s="126">
        <f t="shared" si="32"/>
        <v>6500</v>
      </c>
      <c r="BW13" s="126">
        <f>($I$13/12)*AM13</f>
        <v>6760</v>
      </c>
      <c r="BX13" s="126">
        <f>($I$13/12)*AN13</f>
        <v>6760</v>
      </c>
      <c r="BY13" s="126">
        <f t="shared" si="10"/>
        <v>8112</v>
      </c>
      <c r="BZ13" s="126">
        <f t="shared" si="10"/>
        <v>8112</v>
      </c>
      <c r="CA13" s="126">
        <f t="shared" si="10"/>
        <v>8112</v>
      </c>
      <c r="CB13" s="126">
        <f t="shared" si="10"/>
        <v>8112</v>
      </c>
      <c r="CC13" s="126">
        <f t="shared" si="10"/>
        <v>8112</v>
      </c>
      <c r="CD13" s="126">
        <f t="shared" si="10"/>
        <v>8112</v>
      </c>
      <c r="CE13" s="126">
        <f t="shared" si="10"/>
        <v>8112</v>
      </c>
      <c r="CF13" s="126">
        <f t="shared" si="10"/>
        <v>8112</v>
      </c>
      <c r="CG13" s="126">
        <f t="shared" si="10"/>
        <v>8112</v>
      </c>
      <c r="CH13" s="131">
        <f t="shared" si="10"/>
        <v>8112</v>
      </c>
    </row>
    <row r="14" spans="1:86" ht="13.5">
      <c r="A14" s="123" t="s">
        <v>138</v>
      </c>
      <c r="B14" s="124">
        <v>1</v>
      </c>
      <c r="C14" s="83">
        <v>1</v>
      </c>
      <c r="D14" s="83">
        <v>1</v>
      </c>
      <c r="E14" s="125"/>
      <c r="F14" s="68">
        <v>80000</v>
      </c>
      <c r="G14" s="126">
        <f t="shared" si="0"/>
        <v>80000</v>
      </c>
      <c r="H14" s="126">
        <f t="shared" si="1"/>
        <v>83200</v>
      </c>
      <c r="I14" s="126">
        <f t="shared" si="2"/>
        <v>86528</v>
      </c>
      <c r="J14" s="125"/>
      <c r="K14" s="127">
        <f t="shared" si="27"/>
        <v>80000</v>
      </c>
      <c r="L14" s="128">
        <f t="shared" si="3"/>
        <v>83200</v>
      </c>
      <c r="M14" s="128">
        <f t="shared" si="4"/>
        <v>95090.66666666667</v>
      </c>
      <c r="N14" s="125"/>
      <c r="O14" s="129">
        <f>$B$14</f>
        <v>1</v>
      </c>
      <c r="P14" s="40">
        <f aca="true" t="shared" si="33" ref="P14:Z14">$B$14</f>
        <v>1</v>
      </c>
      <c r="Q14" s="40">
        <f t="shared" si="33"/>
        <v>1</v>
      </c>
      <c r="R14" s="40">
        <f t="shared" si="33"/>
        <v>1</v>
      </c>
      <c r="S14" s="40">
        <f t="shared" si="33"/>
        <v>1</v>
      </c>
      <c r="T14" s="40">
        <f t="shared" si="33"/>
        <v>1</v>
      </c>
      <c r="U14" s="40">
        <f t="shared" si="33"/>
        <v>1</v>
      </c>
      <c r="V14" s="40">
        <f t="shared" si="33"/>
        <v>1</v>
      </c>
      <c r="W14" s="40">
        <f t="shared" si="33"/>
        <v>1</v>
      </c>
      <c r="X14" s="40">
        <f t="shared" si="33"/>
        <v>1</v>
      </c>
      <c r="Y14" s="40">
        <f t="shared" si="33"/>
        <v>1</v>
      </c>
      <c r="Z14" s="40">
        <f t="shared" si="33"/>
        <v>1</v>
      </c>
      <c r="AA14" s="40">
        <f>$C$14</f>
        <v>1</v>
      </c>
      <c r="AB14" s="40">
        <f aca="true" t="shared" si="34" ref="AB14:AL14">$C$14</f>
        <v>1</v>
      </c>
      <c r="AC14" s="40">
        <f t="shared" si="34"/>
        <v>1</v>
      </c>
      <c r="AD14" s="40">
        <f t="shared" si="34"/>
        <v>1</v>
      </c>
      <c r="AE14" s="40">
        <f t="shared" si="34"/>
        <v>1</v>
      </c>
      <c r="AF14" s="40">
        <f t="shared" si="34"/>
        <v>1</v>
      </c>
      <c r="AG14" s="40">
        <f t="shared" si="34"/>
        <v>1</v>
      </c>
      <c r="AH14" s="40">
        <f t="shared" si="34"/>
        <v>1</v>
      </c>
      <c r="AI14" s="40">
        <f t="shared" si="34"/>
        <v>1</v>
      </c>
      <c r="AJ14" s="40">
        <f t="shared" si="34"/>
        <v>1</v>
      </c>
      <c r="AK14" s="40">
        <f t="shared" si="34"/>
        <v>1</v>
      </c>
      <c r="AL14" s="40">
        <f t="shared" si="34"/>
        <v>1</v>
      </c>
      <c r="AM14" s="40">
        <f>$D$14</f>
        <v>1</v>
      </c>
      <c r="AN14" s="40">
        <f aca="true" t="shared" si="35" ref="AN14:AX14">$D$14</f>
        <v>1</v>
      </c>
      <c r="AO14" s="40">
        <f t="shared" si="35"/>
        <v>1</v>
      </c>
      <c r="AP14" s="40">
        <f t="shared" si="35"/>
        <v>1</v>
      </c>
      <c r="AQ14" s="40">
        <f t="shared" si="35"/>
        <v>1</v>
      </c>
      <c r="AR14" s="40">
        <f t="shared" si="35"/>
        <v>1</v>
      </c>
      <c r="AS14" s="40">
        <f t="shared" si="35"/>
        <v>1</v>
      </c>
      <c r="AT14" s="40">
        <f t="shared" si="35"/>
        <v>1</v>
      </c>
      <c r="AU14" s="40">
        <f t="shared" si="35"/>
        <v>1</v>
      </c>
      <c r="AV14" s="40">
        <f t="shared" si="35"/>
        <v>1</v>
      </c>
      <c r="AW14" s="40">
        <f t="shared" si="35"/>
        <v>1</v>
      </c>
      <c r="AX14" s="40">
        <f t="shared" si="35"/>
        <v>1</v>
      </c>
      <c r="AY14" s="130">
        <f>($G$14/12)*O14</f>
        <v>6666.666666666667</v>
      </c>
      <c r="AZ14" s="126">
        <f aca="true" t="shared" si="36" ref="AZ14:BJ14">($G$14/12)*P14</f>
        <v>6666.666666666667</v>
      </c>
      <c r="BA14" s="126">
        <f t="shared" si="36"/>
        <v>6666.666666666667</v>
      </c>
      <c r="BB14" s="126">
        <f t="shared" si="36"/>
        <v>6666.666666666667</v>
      </c>
      <c r="BC14" s="126">
        <f t="shared" si="36"/>
        <v>6666.666666666667</v>
      </c>
      <c r="BD14" s="126">
        <f t="shared" si="36"/>
        <v>6666.666666666667</v>
      </c>
      <c r="BE14" s="126">
        <f t="shared" si="36"/>
        <v>6666.666666666667</v>
      </c>
      <c r="BF14" s="126">
        <f t="shared" si="36"/>
        <v>6666.666666666667</v>
      </c>
      <c r="BG14" s="126">
        <f t="shared" si="36"/>
        <v>6666.666666666667</v>
      </c>
      <c r="BH14" s="126">
        <f t="shared" si="36"/>
        <v>6666.666666666667</v>
      </c>
      <c r="BI14" s="126">
        <f t="shared" si="36"/>
        <v>6666.666666666667</v>
      </c>
      <c r="BJ14" s="126">
        <f t="shared" si="36"/>
        <v>6666.666666666667</v>
      </c>
      <c r="BK14" s="126">
        <f>($H$14/12)*AA14</f>
        <v>6933.333333333333</v>
      </c>
      <c r="BL14" s="126">
        <f aca="true" t="shared" si="37" ref="BL14:BV14">($H$14/12)*AB14</f>
        <v>6933.333333333333</v>
      </c>
      <c r="BM14" s="126">
        <f t="shared" si="37"/>
        <v>6933.333333333333</v>
      </c>
      <c r="BN14" s="126">
        <f t="shared" si="37"/>
        <v>6933.333333333333</v>
      </c>
      <c r="BO14" s="126">
        <f t="shared" si="37"/>
        <v>6933.333333333333</v>
      </c>
      <c r="BP14" s="126">
        <f t="shared" si="37"/>
        <v>6933.333333333333</v>
      </c>
      <c r="BQ14" s="126">
        <f t="shared" si="37"/>
        <v>6933.333333333333</v>
      </c>
      <c r="BR14" s="126">
        <f t="shared" si="37"/>
        <v>6933.333333333333</v>
      </c>
      <c r="BS14" s="126">
        <f t="shared" si="37"/>
        <v>6933.333333333333</v>
      </c>
      <c r="BT14" s="126">
        <f t="shared" si="37"/>
        <v>6933.333333333333</v>
      </c>
      <c r="BU14" s="126">
        <f t="shared" si="37"/>
        <v>6933.333333333333</v>
      </c>
      <c r="BV14" s="126">
        <f t="shared" si="37"/>
        <v>6933.333333333333</v>
      </c>
      <c r="BW14" s="126">
        <f>($I$14/12)*AM14</f>
        <v>7210.666666666667</v>
      </c>
      <c r="BX14" s="126">
        <f>($I$13/12)*AN14</f>
        <v>6760</v>
      </c>
      <c r="BY14" s="126">
        <f t="shared" si="10"/>
        <v>8112</v>
      </c>
      <c r="BZ14" s="126">
        <f t="shared" si="10"/>
        <v>8112</v>
      </c>
      <c r="CA14" s="126">
        <f t="shared" si="10"/>
        <v>8112</v>
      </c>
      <c r="CB14" s="126">
        <f t="shared" si="10"/>
        <v>8112</v>
      </c>
      <c r="CC14" s="126">
        <f t="shared" si="10"/>
        <v>8112</v>
      </c>
      <c r="CD14" s="126">
        <f t="shared" si="10"/>
        <v>8112</v>
      </c>
      <c r="CE14" s="126">
        <f t="shared" si="10"/>
        <v>8112</v>
      </c>
      <c r="CF14" s="126">
        <f t="shared" si="10"/>
        <v>8112</v>
      </c>
      <c r="CG14" s="126">
        <f t="shared" si="10"/>
        <v>8112</v>
      </c>
      <c r="CH14" s="131">
        <f t="shared" si="10"/>
        <v>8112</v>
      </c>
    </row>
    <row r="15" spans="1:86" ht="13.5">
      <c r="A15" s="175" t="s">
        <v>140</v>
      </c>
      <c r="B15" s="124">
        <v>1</v>
      </c>
      <c r="C15" s="83">
        <v>1</v>
      </c>
      <c r="D15" s="83">
        <v>1</v>
      </c>
      <c r="E15" s="125"/>
      <c r="F15" s="68">
        <v>80000</v>
      </c>
      <c r="G15" s="126">
        <f t="shared" si="0"/>
        <v>80000</v>
      </c>
      <c r="H15" s="126">
        <f t="shared" si="1"/>
        <v>83200</v>
      </c>
      <c r="I15" s="126">
        <f t="shared" si="2"/>
        <v>86528</v>
      </c>
      <c r="J15" s="125"/>
      <c r="K15" s="127">
        <f t="shared" si="27"/>
        <v>80000</v>
      </c>
      <c r="L15" s="128">
        <f t="shared" si="3"/>
        <v>83200</v>
      </c>
      <c r="M15" s="128">
        <f t="shared" si="4"/>
        <v>95541.33333333334</v>
      </c>
      <c r="N15" s="125"/>
      <c r="O15" s="129">
        <f>$B$15</f>
        <v>1</v>
      </c>
      <c r="P15" s="40">
        <f aca="true" t="shared" si="38" ref="P15:Z15">$B$15</f>
        <v>1</v>
      </c>
      <c r="Q15" s="40">
        <f t="shared" si="38"/>
        <v>1</v>
      </c>
      <c r="R15" s="40">
        <f t="shared" si="38"/>
        <v>1</v>
      </c>
      <c r="S15" s="40">
        <f t="shared" si="38"/>
        <v>1</v>
      </c>
      <c r="T15" s="40">
        <f t="shared" si="38"/>
        <v>1</v>
      </c>
      <c r="U15" s="40">
        <f t="shared" si="38"/>
        <v>1</v>
      </c>
      <c r="V15" s="40">
        <f t="shared" si="38"/>
        <v>1</v>
      </c>
      <c r="W15" s="40">
        <f t="shared" si="38"/>
        <v>1</v>
      </c>
      <c r="X15" s="40">
        <f t="shared" si="38"/>
        <v>1</v>
      </c>
      <c r="Y15" s="40">
        <f t="shared" si="38"/>
        <v>1</v>
      </c>
      <c r="Z15" s="40">
        <f t="shared" si="38"/>
        <v>1</v>
      </c>
      <c r="AA15" s="40">
        <f>$C$15</f>
        <v>1</v>
      </c>
      <c r="AB15" s="40">
        <f aca="true" t="shared" si="39" ref="AB15:AL15">$C$15</f>
        <v>1</v>
      </c>
      <c r="AC15" s="40">
        <f t="shared" si="39"/>
        <v>1</v>
      </c>
      <c r="AD15" s="40">
        <f t="shared" si="39"/>
        <v>1</v>
      </c>
      <c r="AE15" s="40">
        <f t="shared" si="39"/>
        <v>1</v>
      </c>
      <c r="AF15" s="40">
        <f t="shared" si="39"/>
        <v>1</v>
      </c>
      <c r="AG15" s="40">
        <f t="shared" si="39"/>
        <v>1</v>
      </c>
      <c r="AH15" s="40">
        <f t="shared" si="39"/>
        <v>1</v>
      </c>
      <c r="AI15" s="40">
        <f t="shared" si="39"/>
        <v>1</v>
      </c>
      <c r="AJ15" s="40">
        <f t="shared" si="39"/>
        <v>1</v>
      </c>
      <c r="AK15" s="40">
        <f t="shared" si="39"/>
        <v>1</v>
      </c>
      <c r="AL15" s="40">
        <f t="shared" si="39"/>
        <v>1</v>
      </c>
      <c r="AM15" s="40">
        <f>$D$15</f>
        <v>1</v>
      </c>
      <c r="AN15" s="40">
        <f aca="true" t="shared" si="40" ref="AN15:AX15">$D$15</f>
        <v>1</v>
      </c>
      <c r="AO15" s="40">
        <f t="shared" si="40"/>
        <v>1</v>
      </c>
      <c r="AP15" s="40">
        <f t="shared" si="40"/>
        <v>1</v>
      </c>
      <c r="AQ15" s="40">
        <f t="shared" si="40"/>
        <v>1</v>
      </c>
      <c r="AR15" s="40">
        <f t="shared" si="40"/>
        <v>1</v>
      </c>
      <c r="AS15" s="40">
        <f t="shared" si="40"/>
        <v>1</v>
      </c>
      <c r="AT15" s="40">
        <f t="shared" si="40"/>
        <v>1</v>
      </c>
      <c r="AU15" s="40">
        <f t="shared" si="40"/>
        <v>1</v>
      </c>
      <c r="AV15" s="40">
        <f t="shared" si="40"/>
        <v>1</v>
      </c>
      <c r="AW15" s="40">
        <f t="shared" si="40"/>
        <v>1</v>
      </c>
      <c r="AX15" s="40">
        <f t="shared" si="40"/>
        <v>1</v>
      </c>
      <c r="AY15" s="130">
        <f>($G$15/12)*O15</f>
        <v>6666.666666666667</v>
      </c>
      <c r="AZ15" s="126">
        <f>($G$15/12)*P15</f>
        <v>6666.666666666667</v>
      </c>
      <c r="BA15" s="126">
        <f aca="true" t="shared" si="41" ref="BA15:BJ15">($G$15/12)*Q15</f>
        <v>6666.666666666667</v>
      </c>
      <c r="BB15" s="126">
        <f t="shared" si="41"/>
        <v>6666.666666666667</v>
      </c>
      <c r="BC15" s="126">
        <f t="shared" si="41"/>
        <v>6666.666666666667</v>
      </c>
      <c r="BD15" s="126">
        <f t="shared" si="41"/>
        <v>6666.666666666667</v>
      </c>
      <c r="BE15" s="126">
        <f t="shared" si="41"/>
        <v>6666.666666666667</v>
      </c>
      <c r="BF15" s="126">
        <f t="shared" si="41"/>
        <v>6666.666666666667</v>
      </c>
      <c r="BG15" s="126">
        <f t="shared" si="41"/>
        <v>6666.666666666667</v>
      </c>
      <c r="BH15" s="126">
        <f t="shared" si="41"/>
        <v>6666.666666666667</v>
      </c>
      <c r="BI15" s="126">
        <f t="shared" si="41"/>
        <v>6666.666666666667</v>
      </c>
      <c r="BJ15" s="126">
        <f t="shared" si="41"/>
        <v>6666.666666666667</v>
      </c>
      <c r="BK15" s="126">
        <f>($H$15/12)*AA15</f>
        <v>6933.333333333333</v>
      </c>
      <c r="BL15" s="126">
        <f aca="true" t="shared" si="42" ref="BL15:BV15">($H$15/12)*AB15</f>
        <v>6933.333333333333</v>
      </c>
      <c r="BM15" s="126">
        <f t="shared" si="42"/>
        <v>6933.333333333333</v>
      </c>
      <c r="BN15" s="126">
        <f t="shared" si="42"/>
        <v>6933.333333333333</v>
      </c>
      <c r="BO15" s="126">
        <f t="shared" si="42"/>
        <v>6933.333333333333</v>
      </c>
      <c r="BP15" s="126">
        <f t="shared" si="42"/>
        <v>6933.333333333333</v>
      </c>
      <c r="BQ15" s="126">
        <f t="shared" si="42"/>
        <v>6933.333333333333</v>
      </c>
      <c r="BR15" s="126">
        <f t="shared" si="42"/>
        <v>6933.333333333333</v>
      </c>
      <c r="BS15" s="126">
        <f t="shared" si="42"/>
        <v>6933.333333333333</v>
      </c>
      <c r="BT15" s="126">
        <f t="shared" si="42"/>
        <v>6933.333333333333</v>
      </c>
      <c r="BU15" s="126">
        <f t="shared" si="42"/>
        <v>6933.333333333333</v>
      </c>
      <c r="BV15" s="126">
        <f t="shared" si="42"/>
        <v>6933.333333333333</v>
      </c>
      <c r="BW15" s="126">
        <f>($I$15/12)*AM15</f>
        <v>7210.666666666667</v>
      </c>
      <c r="BX15" s="126">
        <f>($I$15/12)*AN15</f>
        <v>7210.666666666667</v>
      </c>
      <c r="BY15" s="126">
        <f t="shared" si="10"/>
        <v>8112</v>
      </c>
      <c r="BZ15" s="126">
        <f t="shared" si="10"/>
        <v>8112</v>
      </c>
      <c r="CA15" s="126">
        <f t="shared" si="10"/>
        <v>8112</v>
      </c>
      <c r="CB15" s="126">
        <f t="shared" si="10"/>
        <v>8112</v>
      </c>
      <c r="CC15" s="126">
        <f t="shared" si="10"/>
        <v>8112</v>
      </c>
      <c r="CD15" s="126">
        <f t="shared" si="10"/>
        <v>8112</v>
      </c>
      <c r="CE15" s="126">
        <f t="shared" si="10"/>
        <v>8112</v>
      </c>
      <c r="CF15" s="126">
        <f t="shared" si="10"/>
        <v>8112</v>
      </c>
      <c r="CG15" s="126">
        <f t="shared" si="10"/>
        <v>8112</v>
      </c>
      <c r="CH15" s="131">
        <f t="shared" si="10"/>
        <v>8112</v>
      </c>
    </row>
    <row r="16" spans="1:86" ht="13.5">
      <c r="A16" s="132" t="s">
        <v>127</v>
      </c>
      <c r="B16" s="124">
        <v>1</v>
      </c>
      <c r="C16" s="83">
        <v>1</v>
      </c>
      <c r="D16" s="83">
        <v>1</v>
      </c>
      <c r="E16" s="125"/>
      <c r="F16" s="68">
        <v>75000</v>
      </c>
      <c r="G16" s="126">
        <f t="shared" si="0"/>
        <v>75000</v>
      </c>
      <c r="H16" s="126">
        <f>G16*(1+B4)</f>
        <v>78000</v>
      </c>
      <c r="I16" s="126">
        <f>H16*(1+C4)</f>
        <v>81120</v>
      </c>
      <c r="J16" s="125"/>
      <c r="K16" s="127">
        <f t="shared" si="27"/>
        <v>75000</v>
      </c>
      <c r="L16" s="128">
        <f t="shared" si="3"/>
        <v>78000</v>
      </c>
      <c r="M16" s="128">
        <f t="shared" si="4"/>
        <v>81120</v>
      </c>
      <c r="N16" s="125"/>
      <c r="O16" s="129">
        <f>$B$16</f>
        <v>1</v>
      </c>
      <c r="P16" s="40">
        <f aca="true" t="shared" si="43" ref="P16:Z16">$B$16</f>
        <v>1</v>
      </c>
      <c r="Q16" s="40">
        <f t="shared" si="43"/>
        <v>1</v>
      </c>
      <c r="R16" s="40">
        <f t="shared" si="43"/>
        <v>1</v>
      </c>
      <c r="S16" s="40">
        <f t="shared" si="43"/>
        <v>1</v>
      </c>
      <c r="T16" s="40">
        <f t="shared" si="43"/>
        <v>1</v>
      </c>
      <c r="U16" s="40">
        <f t="shared" si="43"/>
        <v>1</v>
      </c>
      <c r="V16" s="40">
        <f t="shared" si="43"/>
        <v>1</v>
      </c>
      <c r="W16" s="40">
        <f t="shared" si="43"/>
        <v>1</v>
      </c>
      <c r="X16" s="40">
        <f t="shared" si="43"/>
        <v>1</v>
      </c>
      <c r="Y16" s="40">
        <f t="shared" si="43"/>
        <v>1</v>
      </c>
      <c r="Z16" s="40">
        <f t="shared" si="43"/>
        <v>1</v>
      </c>
      <c r="AA16" s="40">
        <f>$C$16</f>
        <v>1</v>
      </c>
      <c r="AB16" s="40">
        <f aca="true" t="shared" si="44" ref="AB16:AL16">$C$16</f>
        <v>1</v>
      </c>
      <c r="AC16" s="40">
        <f t="shared" si="44"/>
        <v>1</v>
      </c>
      <c r="AD16" s="40">
        <f t="shared" si="44"/>
        <v>1</v>
      </c>
      <c r="AE16" s="40">
        <f t="shared" si="44"/>
        <v>1</v>
      </c>
      <c r="AF16" s="40">
        <f t="shared" si="44"/>
        <v>1</v>
      </c>
      <c r="AG16" s="40">
        <f t="shared" si="44"/>
        <v>1</v>
      </c>
      <c r="AH16" s="40">
        <f t="shared" si="44"/>
        <v>1</v>
      </c>
      <c r="AI16" s="40">
        <f t="shared" si="44"/>
        <v>1</v>
      </c>
      <c r="AJ16" s="40">
        <f t="shared" si="44"/>
        <v>1</v>
      </c>
      <c r="AK16" s="40">
        <f t="shared" si="44"/>
        <v>1</v>
      </c>
      <c r="AL16" s="40">
        <f t="shared" si="44"/>
        <v>1</v>
      </c>
      <c r="AM16" s="40">
        <f>$D$16</f>
        <v>1</v>
      </c>
      <c r="AN16" s="40">
        <f aca="true" t="shared" si="45" ref="AN16:AX16">$D$16</f>
        <v>1</v>
      </c>
      <c r="AO16" s="40">
        <f t="shared" si="45"/>
        <v>1</v>
      </c>
      <c r="AP16" s="40">
        <f t="shared" si="45"/>
        <v>1</v>
      </c>
      <c r="AQ16" s="40">
        <f t="shared" si="45"/>
        <v>1</v>
      </c>
      <c r="AR16" s="40">
        <f t="shared" si="45"/>
        <v>1</v>
      </c>
      <c r="AS16" s="40">
        <f t="shared" si="45"/>
        <v>1</v>
      </c>
      <c r="AT16" s="40">
        <f t="shared" si="45"/>
        <v>1</v>
      </c>
      <c r="AU16" s="40">
        <f t="shared" si="45"/>
        <v>1</v>
      </c>
      <c r="AV16" s="40">
        <f t="shared" si="45"/>
        <v>1</v>
      </c>
      <c r="AW16" s="40">
        <f t="shared" si="45"/>
        <v>1</v>
      </c>
      <c r="AX16" s="40">
        <f t="shared" si="45"/>
        <v>1</v>
      </c>
      <c r="AY16" s="130">
        <f>($G$16/12)*O16</f>
        <v>6250</v>
      </c>
      <c r="AZ16" s="126">
        <f aca="true" t="shared" si="46" ref="AZ16:BJ16">($G$16/12)*P16</f>
        <v>6250</v>
      </c>
      <c r="BA16" s="126">
        <f t="shared" si="46"/>
        <v>6250</v>
      </c>
      <c r="BB16" s="126">
        <f t="shared" si="46"/>
        <v>6250</v>
      </c>
      <c r="BC16" s="126">
        <f t="shared" si="46"/>
        <v>6250</v>
      </c>
      <c r="BD16" s="126">
        <f t="shared" si="46"/>
        <v>6250</v>
      </c>
      <c r="BE16" s="126">
        <f t="shared" si="46"/>
        <v>6250</v>
      </c>
      <c r="BF16" s="126">
        <f t="shared" si="46"/>
        <v>6250</v>
      </c>
      <c r="BG16" s="126">
        <f t="shared" si="46"/>
        <v>6250</v>
      </c>
      <c r="BH16" s="126">
        <f t="shared" si="46"/>
        <v>6250</v>
      </c>
      <c r="BI16" s="126">
        <f t="shared" si="46"/>
        <v>6250</v>
      </c>
      <c r="BJ16" s="126">
        <f t="shared" si="46"/>
        <v>6250</v>
      </c>
      <c r="BK16" s="126">
        <f aca="true" t="shared" si="47" ref="BK16:BV16">($H$16/12)*AA16</f>
        <v>6500</v>
      </c>
      <c r="BL16" s="126">
        <f t="shared" si="47"/>
        <v>6500</v>
      </c>
      <c r="BM16" s="126">
        <f t="shared" si="47"/>
        <v>6500</v>
      </c>
      <c r="BN16" s="126">
        <f t="shared" si="47"/>
        <v>6500</v>
      </c>
      <c r="BO16" s="126">
        <f t="shared" si="47"/>
        <v>6500</v>
      </c>
      <c r="BP16" s="126">
        <f t="shared" si="47"/>
        <v>6500</v>
      </c>
      <c r="BQ16" s="126">
        <f t="shared" si="47"/>
        <v>6500</v>
      </c>
      <c r="BR16" s="126">
        <f t="shared" si="47"/>
        <v>6500</v>
      </c>
      <c r="BS16" s="126">
        <f t="shared" si="47"/>
        <v>6500</v>
      </c>
      <c r="BT16" s="126">
        <f t="shared" si="47"/>
        <v>6500</v>
      </c>
      <c r="BU16" s="126">
        <f t="shared" si="47"/>
        <v>6500</v>
      </c>
      <c r="BV16" s="126">
        <f t="shared" si="47"/>
        <v>6500</v>
      </c>
      <c r="BW16" s="126">
        <f>($I$16/12)*AM16</f>
        <v>6760</v>
      </c>
      <c r="BX16" s="126">
        <f>($I$16/12)*AN16</f>
        <v>6760</v>
      </c>
      <c r="BY16" s="126">
        <f aca="true" t="shared" si="48" ref="BY16:CH16">($I$16/12)*AO16</f>
        <v>6760</v>
      </c>
      <c r="BZ16" s="126">
        <f t="shared" si="48"/>
        <v>6760</v>
      </c>
      <c r="CA16" s="126">
        <f t="shared" si="48"/>
        <v>6760</v>
      </c>
      <c r="CB16" s="126">
        <f t="shared" si="48"/>
        <v>6760</v>
      </c>
      <c r="CC16" s="126">
        <f t="shared" si="48"/>
        <v>6760</v>
      </c>
      <c r="CD16" s="126">
        <f t="shared" si="48"/>
        <v>6760</v>
      </c>
      <c r="CE16" s="126">
        <f t="shared" si="48"/>
        <v>6760</v>
      </c>
      <c r="CF16" s="126">
        <f t="shared" si="48"/>
        <v>6760</v>
      </c>
      <c r="CG16" s="126">
        <f t="shared" si="48"/>
        <v>6760</v>
      </c>
      <c r="CH16" s="131">
        <f t="shared" si="48"/>
        <v>6760</v>
      </c>
    </row>
    <row r="17" spans="1:86" s="2" customFormat="1" ht="13.5">
      <c r="A17" s="123" t="s">
        <v>131</v>
      </c>
      <c r="B17" s="124">
        <v>1</v>
      </c>
      <c r="C17" s="83">
        <v>1</v>
      </c>
      <c r="D17" s="83">
        <v>1</v>
      </c>
      <c r="E17" s="125"/>
      <c r="F17" s="68">
        <v>75000</v>
      </c>
      <c r="G17" s="3">
        <f>F17</f>
        <v>75000</v>
      </c>
      <c r="H17" s="3">
        <f>G17*(1+B4)</f>
        <v>78000</v>
      </c>
      <c r="I17" s="3">
        <f>H17*(1+C4)</f>
        <v>81120</v>
      </c>
      <c r="J17" s="125"/>
      <c r="K17" s="127">
        <f t="shared" si="27"/>
        <v>75000</v>
      </c>
      <c r="L17" s="4">
        <f t="shared" si="3"/>
        <v>75000</v>
      </c>
      <c r="M17" s="4">
        <f t="shared" si="4"/>
        <v>75000</v>
      </c>
      <c r="N17" s="125"/>
      <c r="O17" s="133">
        <f>$B$17</f>
        <v>1</v>
      </c>
      <c r="P17" s="2">
        <f aca="true" t="shared" si="49" ref="P17:Z17">$B$17</f>
        <v>1</v>
      </c>
      <c r="Q17" s="2">
        <f t="shared" si="49"/>
        <v>1</v>
      </c>
      <c r="R17" s="2">
        <f t="shared" si="49"/>
        <v>1</v>
      </c>
      <c r="S17" s="2">
        <f t="shared" si="49"/>
        <v>1</v>
      </c>
      <c r="T17" s="2">
        <f t="shared" si="49"/>
        <v>1</v>
      </c>
      <c r="U17" s="2">
        <f t="shared" si="49"/>
        <v>1</v>
      </c>
      <c r="V17" s="2">
        <f t="shared" si="49"/>
        <v>1</v>
      </c>
      <c r="W17" s="2">
        <f t="shared" si="49"/>
        <v>1</v>
      </c>
      <c r="X17" s="2">
        <f t="shared" si="49"/>
        <v>1</v>
      </c>
      <c r="Y17" s="2">
        <f t="shared" si="49"/>
        <v>1</v>
      </c>
      <c r="Z17" s="2">
        <f t="shared" si="49"/>
        <v>1</v>
      </c>
      <c r="AA17" s="2">
        <f>$C$17</f>
        <v>1</v>
      </c>
      <c r="AB17" s="2">
        <f aca="true" t="shared" si="50" ref="AB17:AL17">$C$17</f>
        <v>1</v>
      </c>
      <c r="AC17" s="2">
        <f t="shared" si="50"/>
        <v>1</v>
      </c>
      <c r="AD17" s="2">
        <f t="shared" si="50"/>
        <v>1</v>
      </c>
      <c r="AE17" s="2">
        <f t="shared" si="50"/>
        <v>1</v>
      </c>
      <c r="AF17" s="2">
        <f t="shared" si="50"/>
        <v>1</v>
      </c>
      <c r="AG17" s="2">
        <f t="shared" si="50"/>
        <v>1</v>
      </c>
      <c r="AH17" s="2">
        <f t="shared" si="50"/>
        <v>1</v>
      </c>
      <c r="AI17" s="2">
        <f t="shared" si="50"/>
        <v>1</v>
      </c>
      <c r="AJ17" s="2">
        <f t="shared" si="50"/>
        <v>1</v>
      </c>
      <c r="AK17" s="2">
        <f t="shared" si="50"/>
        <v>1</v>
      </c>
      <c r="AL17" s="2">
        <f t="shared" si="50"/>
        <v>1</v>
      </c>
      <c r="AM17" s="2">
        <f>$D$17</f>
        <v>1</v>
      </c>
      <c r="AN17" s="2">
        <f aca="true" t="shared" si="51" ref="AN17:AX17">$D$17</f>
        <v>1</v>
      </c>
      <c r="AO17" s="2">
        <f t="shared" si="51"/>
        <v>1</v>
      </c>
      <c r="AP17" s="2">
        <f t="shared" si="51"/>
        <v>1</v>
      </c>
      <c r="AQ17" s="2">
        <f t="shared" si="51"/>
        <v>1</v>
      </c>
      <c r="AR17" s="2">
        <f t="shared" si="51"/>
        <v>1</v>
      </c>
      <c r="AS17" s="2">
        <f t="shared" si="51"/>
        <v>1</v>
      </c>
      <c r="AT17" s="2">
        <f t="shared" si="51"/>
        <v>1</v>
      </c>
      <c r="AU17" s="2">
        <f t="shared" si="51"/>
        <v>1</v>
      </c>
      <c r="AV17" s="2">
        <f t="shared" si="51"/>
        <v>1</v>
      </c>
      <c r="AW17" s="2">
        <f t="shared" si="51"/>
        <v>1</v>
      </c>
      <c r="AX17" s="2">
        <f t="shared" si="51"/>
        <v>1</v>
      </c>
      <c r="AY17" s="134">
        <f>($G$17/12)*O17</f>
        <v>6250</v>
      </c>
      <c r="AZ17" s="134">
        <f aca="true" t="shared" si="52" ref="AZ17:CH17">($G$17/12)*P17</f>
        <v>6250</v>
      </c>
      <c r="BA17" s="134">
        <f t="shared" si="52"/>
        <v>6250</v>
      </c>
      <c r="BB17" s="134">
        <f t="shared" si="52"/>
        <v>6250</v>
      </c>
      <c r="BC17" s="134">
        <f t="shared" si="52"/>
        <v>6250</v>
      </c>
      <c r="BD17" s="134">
        <f t="shared" si="52"/>
        <v>6250</v>
      </c>
      <c r="BE17" s="134">
        <f t="shared" si="52"/>
        <v>6250</v>
      </c>
      <c r="BF17" s="134">
        <f t="shared" si="52"/>
        <v>6250</v>
      </c>
      <c r="BG17" s="134">
        <f t="shared" si="52"/>
        <v>6250</v>
      </c>
      <c r="BH17" s="134">
        <f t="shared" si="52"/>
        <v>6250</v>
      </c>
      <c r="BI17" s="134">
        <f t="shared" si="52"/>
        <v>6250</v>
      </c>
      <c r="BJ17" s="134">
        <f t="shared" si="52"/>
        <v>6250</v>
      </c>
      <c r="BK17" s="134">
        <f t="shared" si="52"/>
        <v>6250</v>
      </c>
      <c r="BL17" s="134">
        <f t="shared" si="52"/>
        <v>6250</v>
      </c>
      <c r="BM17" s="134">
        <f t="shared" si="52"/>
        <v>6250</v>
      </c>
      <c r="BN17" s="134">
        <f t="shared" si="52"/>
        <v>6250</v>
      </c>
      <c r="BO17" s="134">
        <f t="shared" si="52"/>
        <v>6250</v>
      </c>
      <c r="BP17" s="134">
        <f t="shared" si="52"/>
        <v>6250</v>
      </c>
      <c r="BQ17" s="134">
        <f t="shared" si="52"/>
        <v>6250</v>
      </c>
      <c r="BR17" s="134">
        <f t="shared" si="52"/>
        <v>6250</v>
      </c>
      <c r="BS17" s="134">
        <f t="shared" si="52"/>
        <v>6250</v>
      </c>
      <c r="BT17" s="134">
        <f t="shared" si="52"/>
        <v>6250</v>
      </c>
      <c r="BU17" s="134">
        <f t="shared" si="52"/>
        <v>6250</v>
      </c>
      <c r="BV17" s="134">
        <f t="shared" si="52"/>
        <v>6250</v>
      </c>
      <c r="BW17" s="134">
        <f t="shared" si="52"/>
        <v>6250</v>
      </c>
      <c r="BX17" s="134">
        <f t="shared" si="52"/>
        <v>6250</v>
      </c>
      <c r="BY17" s="134">
        <f t="shared" si="52"/>
        <v>6250</v>
      </c>
      <c r="BZ17" s="134">
        <f t="shared" si="52"/>
        <v>6250</v>
      </c>
      <c r="CA17" s="134">
        <f t="shared" si="52"/>
        <v>6250</v>
      </c>
      <c r="CB17" s="134">
        <f t="shared" si="52"/>
        <v>6250</v>
      </c>
      <c r="CC17" s="134">
        <f t="shared" si="52"/>
        <v>6250</v>
      </c>
      <c r="CD17" s="134">
        <f t="shared" si="52"/>
        <v>6250</v>
      </c>
      <c r="CE17" s="134">
        <f t="shared" si="52"/>
        <v>6250</v>
      </c>
      <c r="CF17" s="134">
        <f t="shared" si="52"/>
        <v>6250</v>
      </c>
      <c r="CG17" s="134">
        <f t="shared" si="52"/>
        <v>6250</v>
      </c>
      <c r="CH17" s="135">
        <f t="shared" si="52"/>
        <v>6250</v>
      </c>
    </row>
    <row r="18" spans="1:88" ht="13.5">
      <c r="A18" s="123" t="s">
        <v>141</v>
      </c>
      <c r="B18" s="124">
        <v>10</v>
      </c>
      <c r="C18" s="83">
        <v>20</v>
      </c>
      <c r="D18" s="83">
        <v>30</v>
      </c>
      <c r="E18" s="125"/>
      <c r="F18" s="68">
        <v>15000</v>
      </c>
      <c r="G18" s="126">
        <f t="shared" si="0"/>
        <v>15000</v>
      </c>
      <c r="H18" s="126">
        <f>G18*(1+$B$4)</f>
        <v>15600</v>
      </c>
      <c r="I18" s="126">
        <f>H18*(1+$C$4)</f>
        <v>16224</v>
      </c>
      <c r="J18" s="125"/>
      <c r="K18" s="127">
        <f t="shared" si="27"/>
        <v>150000</v>
      </c>
      <c r="L18" s="128">
        <f t="shared" si="3"/>
        <v>312000</v>
      </c>
      <c r="M18" s="128">
        <f t="shared" si="4"/>
        <v>486720</v>
      </c>
      <c r="N18" s="125"/>
      <c r="O18" s="129">
        <f>$B$18</f>
        <v>10</v>
      </c>
      <c r="P18" s="40">
        <f aca="true" t="shared" si="53" ref="P18:Z18">$B$18</f>
        <v>10</v>
      </c>
      <c r="Q18" s="40">
        <f t="shared" si="53"/>
        <v>10</v>
      </c>
      <c r="R18" s="40">
        <f t="shared" si="53"/>
        <v>10</v>
      </c>
      <c r="S18" s="40">
        <f t="shared" si="53"/>
        <v>10</v>
      </c>
      <c r="T18" s="40">
        <f t="shared" si="53"/>
        <v>10</v>
      </c>
      <c r="U18" s="40">
        <f t="shared" si="53"/>
        <v>10</v>
      </c>
      <c r="V18" s="40">
        <f t="shared" si="53"/>
        <v>10</v>
      </c>
      <c r="W18" s="40">
        <f t="shared" si="53"/>
        <v>10</v>
      </c>
      <c r="X18" s="40">
        <f t="shared" si="53"/>
        <v>10</v>
      </c>
      <c r="Y18" s="40">
        <f t="shared" si="53"/>
        <v>10</v>
      </c>
      <c r="Z18" s="40">
        <f t="shared" si="53"/>
        <v>10</v>
      </c>
      <c r="AA18" s="40">
        <f>$C$18</f>
        <v>20</v>
      </c>
      <c r="AB18" s="40">
        <f aca="true" t="shared" si="54" ref="AB18:AL18">$C$18</f>
        <v>20</v>
      </c>
      <c r="AC18" s="40">
        <f t="shared" si="54"/>
        <v>20</v>
      </c>
      <c r="AD18" s="40">
        <f t="shared" si="54"/>
        <v>20</v>
      </c>
      <c r="AE18" s="40">
        <f t="shared" si="54"/>
        <v>20</v>
      </c>
      <c r="AF18" s="40">
        <f t="shared" si="54"/>
        <v>20</v>
      </c>
      <c r="AG18" s="40">
        <f t="shared" si="54"/>
        <v>20</v>
      </c>
      <c r="AH18" s="40">
        <f t="shared" si="54"/>
        <v>20</v>
      </c>
      <c r="AI18" s="40">
        <f t="shared" si="54"/>
        <v>20</v>
      </c>
      <c r="AJ18" s="40">
        <f t="shared" si="54"/>
        <v>20</v>
      </c>
      <c r="AK18" s="40">
        <f t="shared" si="54"/>
        <v>20</v>
      </c>
      <c r="AL18" s="40">
        <f t="shared" si="54"/>
        <v>20</v>
      </c>
      <c r="AM18" s="40">
        <f>$D$18</f>
        <v>30</v>
      </c>
      <c r="AN18" s="40">
        <f aca="true" t="shared" si="55" ref="AN18:AX18">$D$18</f>
        <v>30</v>
      </c>
      <c r="AO18" s="40">
        <f t="shared" si="55"/>
        <v>30</v>
      </c>
      <c r="AP18" s="40">
        <f t="shared" si="55"/>
        <v>30</v>
      </c>
      <c r="AQ18" s="40">
        <f t="shared" si="55"/>
        <v>30</v>
      </c>
      <c r="AR18" s="40">
        <f t="shared" si="55"/>
        <v>30</v>
      </c>
      <c r="AS18" s="40">
        <f t="shared" si="55"/>
        <v>30</v>
      </c>
      <c r="AT18" s="40">
        <f t="shared" si="55"/>
        <v>30</v>
      </c>
      <c r="AU18" s="40">
        <f t="shared" si="55"/>
        <v>30</v>
      </c>
      <c r="AV18" s="40">
        <f t="shared" si="55"/>
        <v>30</v>
      </c>
      <c r="AW18" s="40">
        <f t="shared" si="55"/>
        <v>30</v>
      </c>
      <c r="AX18" s="40">
        <f t="shared" si="55"/>
        <v>30</v>
      </c>
      <c r="AY18" s="130">
        <f>($G$18/12)*O18</f>
        <v>12500</v>
      </c>
      <c r="AZ18" s="126">
        <f aca="true" t="shared" si="56" ref="AZ18:BJ18">($G$18/12)*P18</f>
        <v>12500</v>
      </c>
      <c r="BA18" s="126">
        <f t="shared" si="56"/>
        <v>12500</v>
      </c>
      <c r="BB18" s="126">
        <f t="shared" si="56"/>
        <v>12500</v>
      </c>
      <c r="BC18" s="126">
        <f t="shared" si="56"/>
        <v>12500</v>
      </c>
      <c r="BD18" s="126">
        <f t="shared" si="56"/>
        <v>12500</v>
      </c>
      <c r="BE18" s="126">
        <f t="shared" si="56"/>
        <v>12500</v>
      </c>
      <c r="BF18" s="126">
        <f t="shared" si="56"/>
        <v>12500</v>
      </c>
      <c r="BG18" s="126">
        <f t="shared" si="56"/>
        <v>12500</v>
      </c>
      <c r="BH18" s="126">
        <f t="shared" si="56"/>
        <v>12500</v>
      </c>
      <c r="BI18" s="126">
        <f t="shared" si="56"/>
        <v>12500</v>
      </c>
      <c r="BJ18" s="126">
        <f t="shared" si="56"/>
        <v>12500</v>
      </c>
      <c r="BK18" s="126">
        <f>($H$18/12)*AA18</f>
        <v>26000</v>
      </c>
      <c r="BL18" s="126">
        <f aca="true" t="shared" si="57" ref="BL18:BV18">($H$18/12)*AB18</f>
        <v>26000</v>
      </c>
      <c r="BM18" s="126">
        <f t="shared" si="57"/>
        <v>26000</v>
      </c>
      <c r="BN18" s="126">
        <f t="shared" si="57"/>
        <v>26000</v>
      </c>
      <c r="BO18" s="126">
        <f t="shared" si="57"/>
        <v>26000</v>
      </c>
      <c r="BP18" s="126">
        <f t="shared" si="57"/>
        <v>26000</v>
      </c>
      <c r="BQ18" s="126">
        <f t="shared" si="57"/>
        <v>26000</v>
      </c>
      <c r="BR18" s="126">
        <f t="shared" si="57"/>
        <v>26000</v>
      </c>
      <c r="BS18" s="126">
        <f t="shared" si="57"/>
        <v>26000</v>
      </c>
      <c r="BT18" s="126">
        <f t="shared" si="57"/>
        <v>26000</v>
      </c>
      <c r="BU18" s="126">
        <f t="shared" si="57"/>
        <v>26000</v>
      </c>
      <c r="BV18" s="126">
        <f t="shared" si="57"/>
        <v>26000</v>
      </c>
      <c r="BW18" s="126">
        <f>($I$18/12)*AM18</f>
        <v>40560</v>
      </c>
      <c r="BX18" s="126">
        <f>($I$18/12)*AN18</f>
        <v>40560</v>
      </c>
      <c r="BY18" s="126">
        <f aca="true" t="shared" si="58" ref="BY18:CH18">($I$18/12)*AO18</f>
        <v>40560</v>
      </c>
      <c r="BZ18" s="126">
        <f t="shared" si="58"/>
        <v>40560</v>
      </c>
      <c r="CA18" s="126">
        <f t="shared" si="58"/>
        <v>40560</v>
      </c>
      <c r="CB18" s="126">
        <f t="shared" si="58"/>
        <v>40560</v>
      </c>
      <c r="CC18" s="126">
        <f t="shared" si="58"/>
        <v>40560</v>
      </c>
      <c r="CD18" s="126">
        <f t="shared" si="58"/>
        <v>40560</v>
      </c>
      <c r="CE18" s="126">
        <f t="shared" si="58"/>
        <v>40560</v>
      </c>
      <c r="CF18" s="126">
        <f t="shared" si="58"/>
        <v>40560</v>
      </c>
      <c r="CG18" s="126">
        <f t="shared" si="58"/>
        <v>40560</v>
      </c>
      <c r="CH18" s="131">
        <f t="shared" si="58"/>
        <v>40560</v>
      </c>
      <c r="CI18" s="126"/>
      <c r="CJ18" s="126"/>
    </row>
    <row r="19" spans="1:86" ht="15" thickBot="1">
      <c r="A19" s="176" t="s">
        <v>110</v>
      </c>
      <c r="B19" s="124">
        <v>1</v>
      </c>
      <c r="C19" s="124">
        <v>2</v>
      </c>
      <c r="D19" s="124">
        <v>4</v>
      </c>
      <c r="E19" s="137"/>
      <c r="F19" s="138">
        <v>40000</v>
      </c>
      <c r="G19" s="130">
        <f t="shared" si="0"/>
        <v>40000</v>
      </c>
      <c r="H19" s="130">
        <f>G19*(1+$B$4)</f>
        <v>41600</v>
      </c>
      <c r="I19" s="130">
        <f>H19*(1+$C$4)</f>
        <v>43264</v>
      </c>
      <c r="J19" s="137"/>
      <c r="K19" s="127">
        <f t="shared" si="27"/>
        <v>40000</v>
      </c>
      <c r="L19" s="127">
        <f t="shared" si="3"/>
        <v>83200</v>
      </c>
      <c r="M19" s="127">
        <f t="shared" si="4"/>
        <v>173056</v>
      </c>
      <c r="N19" s="137"/>
      <c r="O19" s="129">
        <f>$B$19</f>
        <v>1</v>
      </c>
      <c r="P19" s="129">
        <f aca="true" t="shared" si="59" ref="P19:Z19">$B$19</f>
        <v>1</v>
      </c>
      <c r="Q19" s="129">
        <f t="shared" si="59"/>
        <v>1</v>
      </c>
      <c r="R19" s="129">
        <f t="shared" si="59"/>
        <v>1</v>
      </c>
      <c r="S19" s="129">
        <f t="shared" si="59"/>
        <v>1</v>
      </c>
      <c r="T19" s="129">
        <f t="shared" si="59"/>
        <v>1</v>
      </c>
      <c r="U19" s="129">
        <f t="shared" si="59"/>
        <v>1</v>
      </c>
      <c r="V19" s="129">
        <f t="shared" si="59"/>
        <v>1</v>
      </c>
      <c r="W19" s="129">
        <f t="shared" si="59"/>
        <v>1</v>
      </c>
      <c r="X19" s="129">
        <f t="shared" si="59"/>
        <v>1</v>
      </c>
      <c r="Y19" s="129">
        <f t="shared" si="59"/>
        <v>1</v>
      </c>
      <c r="Z19" s="129">
        <f t="shared" si="59"/>
        <v>1</v>
      </c>
      <c r="AA19" s="129">
        <f>$C$19</f>
        <v>2</v>
      </c>
      <c r="AB19" s="129">
        <f aca="true" t="shared" si="60" ref="AB19:AL19">$C$19</f>
        <v>2</v>
      </c>
      <c r="AC19" s="129">
        <f t="shared" si="60"/>
        <v>2</v>
      </c>
      <c r="AD19" s="129">
        <f t="shared" si="60"/>
        <v>2</v>
      </c>
      <c r="AE19" s="129">
        <f t="shared" si="60"/>
        <v>2</v>
      </c>
      <c r="AF19" s="129">
        <f t="shared" si="60"/>
        <v>2</v>
      </c>
      <c r="AG19" s="129">
        <f t="shared" si="60"/>
        <v>2</v>
      </c>
      <c r="AH19" s="129">
        <f t="shared" si="60"/>
        <v>2</v>
      </c>
      <c r="AI19" s="129">
        <f t="shared" si="60"/>
        <v>2</v>
      </c>
      <c r="AJ19" s="129">
        <f t="shared" si="60"/>
        <v>2</v>
      </c>
      <c r="AK19" s="129">
        <f t="shared" si="60"/>
        <v>2</v>
      </c>
      <c r="AL19" s="129">
        <f t="shared" si="60"/>
        <v>2</v>
      </c>
      <c r="AM19" s="129">
        <f>$D$19</f>
        <v>4</v>
      </c>
      <c r="AN19" s="129">
        <f aca="true" t="shared" si="61" ref="AN19:AX19">$D$19</f>
        <v>4</v>
      </c>
      <c r="AO19" s="129">
        <f t="shared" si="61"/>
        <v>4</v>
      </c>
      <c r="AP19" s="129">
        <f t="shared" si="61"/>
        <v>4</v>
      </c>
      <c r="AQ19" s="129">
        <f t="shared" si="61"/>
        <v>4</v>
      </c>
      <c r="AR19" s="129">
        <f t="shared" si="61"/>
        <v>4</v>
      </c>
      <c r="AS19" s="129">
        <f t="shared" si="61"/>
        <v>4</v>
      </c>
      <c r="AT19" s="129">
        <f t="shared" si="61"/>
        <v>4</v>
      </c>
      <c r="AU19" s="129">
        <f t="shared" si="61"/>
        <v>4</v>
      </c>
      <c r="AV19" s="129">
        <f t="shared" si="61"/>
        <v>4</v>
      </c>
      <c r="AW19" s="129">
        <f t="shared" si="61"/>
        <v>4</v>
      </c>
      <c r="AX19" s="129">
        <f t="shared" si="61"/>
        <v>4</v>
      </c>
      <c r="AY19" s="130">
        <f>($G$19/12)*O19</f>
        <v>3333.3333333333335</v>
      </c>
      <c r="AZ19" s="130">
        <f aca="true" t="shared" si="62" ref="AZ19:BJ19">($G$19/12)*P19</f>
        <v>3333.3333333333335</v>
      </c>
      <c r="BA19" s="130">
        <f t="shared" si="62"/>
        <v>3333.3333333333335</v>
      </c>
      <c r="BB19" s="130">
        <f t="shared" si="62"/>
        <v>3333.3333333333335</v>
      </c>
      <c r="BC19" s="130">
        <f t="shared" si="62"/>
        <v>3333.3333333333335</v>
      </c>
      <c r="BD19" s="130">
        <f t="shared" si="62"/>
        <v>3333.3333333333335</v>
      </c>
      <c r="BE19" s="130">
        <f t="shared" si="62"/>
        <v>3333.3333333333335</v>
      </c>
      <c r="BF19" s="130">
        <f t="shared" si="62"/>
        <v>3333.3333333333335</v>
      </c>
      <c r="BG19" s="130">
        <f t="shared" si="62"/>
        <v>3333.3333333333335</v>
      </c>
      <c r="BH19" s="130">
        <f t="shared" si="62"/>
        <v>3333.3333333333335</v>
      </c>
      <c r="BI19" s="130">
        <f t="shared" si="62"/>
        <v>3333.3333333333335</v>
      </c>
      <c r="BJ19" s="130">
        <f t="shared" si="62"/>
        <v>3333.3333333333335</v>
      </c>
      <c r="BK19" s="130">
        <f>($H$19/12)*AA19</f>
        <v>6933.333333333333</v>
      </c>
      <c r="BL19" s="130">
        <f>($H$19/12)*AB19</f>
        <v>6933.333333333333</v>
      </c>
      <c r="BM19" s="130">
        <f aca="true" t="shared" si="63" ref="BM19:BV19">($H$19/12)*AC19</f>
        <v>6933.333333333333</v>
      </c>
      <c r="BN19" s="130">
        <f t="shared" si="63"/>
        <v>6933.333333333333</v>
      </c>
      <c r="BO19" s="130">
        <f t="shared" si="63"/>
        <v>6933.333333333333</v>
      </c>
      <c r="BP19" s="130">
        <f t="shared" si="63"/>
        <v>6933.333333333333</v>
      </c>
      <c r="BQ19" s="130">
        <f t="shared" si="63"/>
        <v>6933.333333333333</v>
      </c>
      <c r="BR19" s="130">
        <f t="shared" si="63"/>
        <v>6933.333333333333</v>
      </c>
      <c r="BS19" s="130">
        <f t="shared" si="63"/>
        <v>6933.333333333333</v>
      </c>
      <c r="BT19" s="130">
        <f t="shared" si="63"/>
        <v>6933.333333333333</v>
      </c>
      <c r="BU19" s="130">
        <f t="shared" si="63"/>
        <v>6933.333333333333</v>
      </c>
      <c r="BV19" s="130">
        <f t="shared" si="63"/>
        <v>6933.333333333333</v>
      </c>
      <c r="BW19" s="130">
        <f aca="true" t="shared" si="64" ref="BW19:CH19">($I$19/12)*AM19</f>
        <v>14421.333333333334</v>
      </c>
      <c r="BX19" s="130">
        <f t="shared" si="64"/>
        <v>14421.333333333334</v>
      </c>
      <c r="BY19" s="130">
        <f t="shared" si="64"/>
        <v>14421.333333333334</v>
      </c>
      <c r="BZ19" s="130">
        <f t="shared" si="64"/>
        <v>14421.333333333334</v>
      </c>
      <c r="CA19" s="130">
        <f t="shared" si="64"/>
        <v>14421.333333333334</v>
      </c>
      <c r="CB19" s="130">
        <f t="shared" si="64"/>
        <v>14421.333333333334</v>
      </c>
      <c r="CC19" s="130">
        <f t="shared" si="64"/>
        <v>14421.333333333334</v>
      </c>
      <c r="CD19" s="130">
        <f t="shared" si="64"/>
        <v>14421.333333333334</v>
      </c>
      <c r="CE19" s="130">
        <f t="shared" si="64"/>
        <v>14421.333333333334</v>
      </c>
      <c r="CF19" s="130">
        <f t="shared" si="64"/>
        <v>14421.333333333334</v>
      </c>
      <c r="CG19" s="130">
        <f t="shared" si="64"/>
        <v>14421.333333333334</v>
      </c>
      <c r="CH19" s="131">
        <f t="shared" si="64"/>
        <v>14421.333333333334</v>
      </c>
    </row>
    <row r="20" spans="1:86" ht="13.5">
      <c r="A20" s="174" t="s">
        <v>111</v>
      </c>
      <c r="B20" s="139">
        <f>SUM(B9:B19)</f>
        <v>22</v>
      </c>
      <c r="C20" s="140">
        <f>SUM(C9:C19)</f>
        <v>38</v>
      </c>
      <c r="D20" s="140">
        <f>SUM(D9:D19)</f>
        <v>54</v>
      </c>
      <c r="E20" s="141"/>
      <c r="F20" s="142"/>
      <c r="G20" s="143"/>
      <c r="H20" s="143"/>
      <c r="I20" s="143"/>
      <c r="J20" s="141"/>
      <c r="K20" s="144">
        <f>SUM(K9:K19)</f>
        <v>940000</v>
      </c>
      <c r="L20" s="144">
        <f>SUM(L9:L19)</f>
        <v>1447400</v>
      </c>
      <c r="M20" s="144">
        <f>SUM(M9:M19)</f>
        <v>2001968</v>
      </c>
      <c r="N20" s="141"/>
      <c r="O20" s="140">
        <f aca="true" t="shared" si="65" ref="O20:AT20">SUM(O9:O19)</f>
        <v>22</v>
      </c>
      <c r="P20" s="140">
        <f t="shared" si="65"/>
        <v>22</v>
      </c>
      <c r="Q20" s="140">
        <f t="shared" si="65"/>
        <v>22</v>
      </c>
      <c r="R20" s="140">
        <f t="shared" si="65"/>
        <v>22</v>
      </c>
      <c r="S20" s="140">
        <f t="shared" si="65"/>
        <v>22</v>
      </c>
      <c r="T20" s="140">
        <f t="shared" si="65"/>
        <v>22</v>
      </c>
      <c r="U20" s="140">
        <f t="shared" si="65"/>
        <v>22</v>
      </c>
      <c r="V20" s="140">
        <f t="shared" si="65"/>
        <v>22</v>
      </c>
      <c r="W20" s="140">
        <f t="shared" si="65"/>
        <v>22</v>
      </c>
      <c r="X20" s="140">
        <f t="shared" si="65"/>
        <v>22</v>
      </c>
      <c r="Y20" s="140">
        <f t="shared" si="65"/>
        <v>22</v>
      </c>
      <c r="Z20" s="140">
        <f t="shared" si="65"/>
        <v>22</v>
      </c>
      <c r="AA20" s="140">
        <f t="shared" si="65"/>
        <v>38</v>
      </c>
      <c r="AB20" s="140">
        <f t="shared" si="65"/>
        <v>38</v>
      </c>
      <c r="AC20" s="140">
        <f t="shared" si="65"/>
        <v>38</v>
      </c>
      <c r="AD20" s="140">
        <f t="shared" si="65"/>
        <v>38</v>
      </c>
      <c r="AE20" s="140">
        <f t="shared" si="65"/>
        <v>38</v>
      </c>
      <c r="AF20" s="140">
        <f t="shared" si="65"/>
        <v>38</v>
      </c>
      <c r="AG20" s="140">
        <f t="shared" si="65"/>
        <v>38</v>
      </c>
      <c r="AH20" s="140">
        <f t="shared" si="65"/>
        <v>38</v>
      </c>
      <c r="AI20" s="140">
        <f t="shared" si="65"/>
        <v>38</v>
      </c>
      <c r="AJ20" s="140">
        <f t="shared" si="65"/>
        <v>38</v>
      </c>
      <c r="AK20" s="140">
        <f t="shared" si="65"/>
        <v>38</v>
      </c>
      <c r="AL20" s="140">
        <f t="shared" si="65"/>
        <v>38</v>
      </c>
      <c r="AM20" s="140">
        <f t="shared" si="65"/>
        <v>54</v>
      </c>
      <c r="AN20" s="140">
        <f t="shared" si="65"/>
        <v>54</v>
      </c>
      <c r="AO20" s="140">
        <f t="shared" si="65"/>
        <v>54</v>
      </c>
      <c r="AP20" s="140">
        <f t="shared" si="65"/>
        <v>54</v>
      </c>
      <c r="AQ20" s="140">
        <f t="shared" si="65"/>
        <v>54</v>
      </c>
      <c r="AR20" s="140">
        <f t="shared" si="65"/>
        <v>54</v>
      </c>
      <c r="AS20" s="140">
        <f t="shared" si="65"/>
        <v>54</v>
      </c>
      <c r="AT20" s="140">
        <f t="shared" si="65"/>
        <v>54</v>
      </c>
      <c r="AU20" s="140">
        <f aca="true" t="shared" si="66" ref="AU20:BZ20">SUM(AU9:AU19)</f>
        <v>54</v>
      </c>
      <c r="AV20" s="140">
        <f t="shared" si="66"/>
        <v>54</v>
      </c>
      <c r="AW20" s="140">
        <f t="shared" si="66"/>
        <v>54</v>
      </c>
      <c r="AX20" s="140">
        <f t="shared" si="66"/>
        <v>54</v>
      </c>
      <c r="AY20" s="145">
        <f t="shared" si="66"/>
        <v>78333.33333333333</v>
      </c>
      <c r="AZ20" s="142">
        <f t="shared" si="66"/>
        <v>78333.33333333333</v>
      </c>
      <c r="BA20" s="142">
        <f t="shared" si="66"/>
        <v>78333.33333333333</v>
      </c>
      <c r="BB20" s="142">
        <f t="shared" si="66"/>
        <v>78333.33333333333</v>
      </c>
      <c r="BC20" s="142">
        <f t="shared" si="66"/>
        <v>78333.33333333333</v>
      </c>
      <c r="BD20" s="142">
        <f t="shared" si="66"/>
        <v>78333.33333333333</v>
      </c>
      <c r="BE20" s="142">
        <f t="shared" si="66"/>
        <v>78333.33333333333</v>
      </c>
      <c r="BF20" s="142">
        <f t="shared" si="66"/>
        <v>78333.33333333333</v>
      </c>
      <c r="BG20" s="142">
        <f t="shared" si="66"/>
        <v>78333.33333333333</v>
      </c>
      <c r="BH20" s="142">
        <f t="shared" si="66"/>
        <v>78333.33333333333</v>
      </c>
      <c r="BI20" s="142">
        <f t="shared" si="66"/>
        <v>78333.33333333333</v>
      </c>
      <c r="BJ20" s="142">
        <f t="shared" si="66"/>
        <v>78333.33333333333</v>
      </c>
      <c r="BK20" s="142">
        <f t="shared" si="66"/>
        <v>120616.66666666666</v>
      </c>
      <c r="BL20" s="142">
        <f t="shared" si="66"/>
        <v>120616.66666666666</v>
      </c>
      <c r="BM20" s="142">
        <f t="shared" si="66"/>
        <v>120616.66666666666</v>
      </c>
      <c r="BN20" s="142">
        <f t="shared" si="66"/>
        <v>120616.66666666666</v>
      </c>
      <c r="BO20" s="142">
        <f t="shared" si="66"/>
        <v>120616.66666666666</v>
      </c>
      <c r="BP20" s="142">
        <f t="shared" si="66"/>
        <v>120616.66666666666</v>
      </c>
      <c r="BQ20" s="142">
        <f t="shared" si="66"/>
        <v>120616.66666666666</v>
      </c>
      <c r="BR20" s="142">
        <f t="shared" si="66"/>
        <v>120616.66666666666</v>
      </c>
      <c r="BS20" s="142">
        <f t="shared" si="66"/>
        <v>120616.66666666666</v>
      </c>
      <c r="BT20" s="142">
        <f t="shared" si="66"/>
        <v>120616.66666666666</v>
      </c>
      <c r="BU20" s="142">
        <f t="shared" si="66"/>
        <v>120616.66666666666</v>
      </c>
      <c r="BV20" s="142">
        <f t="shared" si="66"/>
        <v>120616.66666666666</v>
      </c>
      <c r="BW20" s="142">
        <f t="shared" si="66"/>
        <v>164239.33333333334</v>
      </c>
      <c r="BX20" s="142">
        <f t="shared" si="66"/>
        <v>163788.6666666667</v>
      </c>
      <c r="BY20" s="142">
        <f t="shared" si="66"/>
        <v>167394.00000000003</v>
      </c>
      <c r="BZ20" s="142">
        <f t="shared" si="66"/>
        <v>167394.00000000003</v>
      </c>
      <c r="CA20" s="142">
        <f aca="true" t="shared" si="67" ref="CA20:CH20">SUM(CA9:CA19)</f>
        <v>167394.00000000003</v>
      </c>
      <c r="CB20" s="142">
        <f t="shared" si="67"/>
        <v>167394.00000000003</v>
      </c>
      <c r="CC20" s="142">
        <f t="shared" si="67"/>
        <v>167394.00000000003</v>
      </c>
      <c r="CD20" s="142">
        <f t="shared" si="67"/>
        <v>167394.00000000003</v>
      </c>
      <c r="CE20" s="142">
        <f t="shared" si="67"/>
        <v>167394.00000000003</v>
      </c>
      <c r="CF20" s="142">
        <f t="shared" si="67"/>
        <v>167394.00000000003</v>
      </c>
      <c r="CG20" s="142">
        <f t="shared" si="67"/>
        <v>167394.00000000003</v>
      </c>
      <c r="CH20" s="146">
        <f t="shared" si="67"/>
        <v>167394.00000000003</v>
      </c>
    </row>
    <row r="21" spans="1:86" s="2" customFormat="1" ht="13.5">
      <c r="A21" s="147" t="s">
        <v>128</v>
      </c>
      <c r="B21" s="148"/>
      <c r="E21" s="125"/>
      <c r="F21" s="3"/>
      <c r="G21" s="63"/>
      <c r="H21" s="63"/>
      <c r="I21" s="63"/>
      <c r="J21" s="125"/>
      <c r="K21" s="4">
        <f>K20*0.09</f>
        <v>84600</v>
      </c>
      <c r="L21" s="4">
        <f>L20*0.09</f>
        <v>130266</v>
      </c>
      <c r="M21" s="4">
        <f>M20*0.09</f>
        <v>180177.12</v>
      </c>
      <c r="N21" s="125"/>
      <c r="AY21" s="149">
        <f>AY20*0.09</f>
        <v>7049.999999999999</v>
      </c>
      <c r="AZ21" s="3">
        <f aca="true" t="shared" si="68" ref="AZ21:CH21">AZ20*0.09</f>
        <v>7049.999999999999</v>
      </c>
      <c r="BA21" s="3">
        <f t="shared" si="68"/>
        <v>7049.999999999999</v>
      </c>
      <c r="BB21" s="3">
        <f t="shared" si="68"/>
        <v>7049.999999999999</v>
      </c>
      <c r="BC21" s="3">
        <f t="shared" si="68"/>
        <v>7049.999999999999</v>
      </c>
      <c r="BD21" s="3">
        <f t="shared" si="68"/>
        <v>7049.999999999999</v>
      </c>
      <c r="BE21" s="3">
        <f t="shared" si="68"/>
        <v>7049.999999999999</v>
      </c>
      <c r="BF21" s="3">
        <f t="shared" si="68"/>
        <v>7049.999999999999</v>
      </c>
      <c r="BG21" s="3">
        <f t="shared" si="68"/>
        <v>7049.999999999999</v>
      </c>
      <c r="BH21" s="3">
        <f t="shared" si="68"/>
        <v>7049.999999999999</v>
      </c>
      <c r="BI21" s="3">
        <f t="shared" si="68"/>
        <v>7049.999999999999</v>
      </c>
      <c r="BJ21" s="3">
        <f t="shared" si="68"/>
        <v>7049.999999999999</v>
      </c>
      <c r="BK21" s="3">
        <f t="shared" si="68"/>
        <v>10855.499999999998</v>
      </c>
      <c r="BL21" s="3">
        <f t="shared" si="68"/>
        <v>10855.499999999998</v>
      </c>
      <c r="BM21" s="3">
        <f t="shared" si="68"/>
        <v>10855.499999999998</v>
      </c>
      <c r="BN21" s="3">
        <f t="shared" si="68"/>
        <v>10855.499999999998</v>
      </c>
      <c r="BO21" s="3">
        <f t="shared" si="68"/>
        <v>10855.499999999998</v>
      </c>
      <c r="BP21" s="3">
        <f t="shared" si="68"/>
        <v>10855.499999999998</v>
      </c>
      <c r="BQ21" s="3">
        <f t="shared" si="68"/>
        <v>10855.499999999998</v>
      </c>
      <c r="BR21" s="3">
        <f t="shared" si="68"/>
        <v>10855.499999999998</v>
      </c>
      <c r="BS21" s="3">
        <f t="shared" si="68"/>
        <v>10855.499999999998</v>
      </c>
      <c r="BT21" s="3">
        <f t="shared" si="68"/>
        <v>10855.499999999998</v>
      </c>
      <c r="BU21" s="3">
        <f t="shared" si="68"/>
        <v>10855.499999999998</v>
      </c>
      <c r="BV21" s="3">
        <f t="shared" si="68"/>
        <v>10855.499999999998</v>
      </c>
      <c r="BW21" s="3">
        <f t="shared" si="68"/>
        <v>14781.54</v>
      </c>
      <c r="BX21" s="3">
        <f t="shared" si="68"/>
        <v>14740.980000000001</v>
      </c>
      <c r="BY21" s="3">
        <f t="shared" si="68"/>
        <v>15065.460000000003</v>
      </c>
      <c r="BZ21" s="3">
        <f t="shared" si="68"/>
        <v>15065.460000000003</v>
      </c>
      <c r="CA21" s="3">
        <f t="shared" si="68"/>
        <v>15065.460000000003</v>
      </c>
      <c r="CB21" s="3">
        <f t="shared" si="68"/>
        <v>15065.460000000003</v>
      </c>
      <c r="CC21" s="3">
        <f t="shared" si="68"/>
        <v>15065.460000000003</v>
      </c>
      <c r="CD21" s="3">
        <f t="shared" si="68"/>
        <v>15065.460000000003</v>
      </c>
      <c r="CE21" s="3">
        <f t="shared" si="68"/>
        <v>15065.460000000003</v>
      </c>
      <c r="CF21" s="3">
        <f t="shared" si="68"/>
        <v>15065.460000000003</v>
      </c>
      <c r="CG21" s="3">
        <f t="shared" si="68"/>
        <v>15065.460000000003</v>
      </c>
      <c r="CH21" s="150">
        <f t="shared" si="68"/>
        <v>15065.460000000003</v>
      </c>
    </row>
    <row r="22" spans="1:86" ht="15" thickBot="1">
      <c r="A22" s="151" t="s">
        <v>129</v>
      </c>
      <c r="B22" s="152"/>
      <c r="C22" s="153"/>
      <c r="D22" s="153"/>
      <c r="E22" s="154"/>
      <c r="F22" s="155"/>
      <c r="G22" s="155"/>
      <c r="H22" s="155"/>
      <c r="I22" s="155"/>
      <c r="J22" s="154"/>
      <c r="K22" s="156">
        <f>(K20-K18)*0.07</f>
        <v>55300.00000000001</v>
      </c>
      <c r="L22" s="156">
        <f>(L20-L18)*0.07</f>
        <v>79478.00000000001</v>
      </c>
      <c r="M22" s="156">
        <f>(M20-M18)*0.07</f>
        <v>106067.36000000002</v>
      </c>
      <c r="N22" s="154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7">
        <f>AY20*0.07</f>
        <v>5483.333333333334</v>
      </c>
      <c r="AZ22" s="155">
        <f aca="true" t="shared" si="69" ref="AZ22:CH22">AZ20*0.07</f>
        <v>5483.333333333334</v>
      </c>
      <c r="BA22" s="155">
        <f t="shared" si="69"/>
        <v>5483.333333333334</v>
      </c>
      <c r="BB22" s="155">
        <f t="shared" si="69"/>
        <v>5483.333333333334</v>
      </c>
      <c r="BC22" s="155">
        <f t="shared" si="69"/>
        <v>5483.333333333334</v>
      </c>
      <c r="BD22" s="155">
        <f t="shared" si="69"/>
        <v>5483.333333333334</v>
      </c>
      <c r="BE22" s="155">
        <f t="shared" si="69"/>
        <v>5483.333333333334</v>
      </c>
      <c r="BF22" s="155">
        <f t="shared" si="69"/>
        <v>5483.333333333334</v>
      </c>
      <c r="BG22" s="155">
        <f t="shared" si="69"/>
        <v>5483.333333333334</v>
      </c>
      <c r="BH22" s="155">
        <f t="shared" si="69"/>
        <v>5483.333333333334</v>
      </c>
      <c r="BI22" s="155">
        <f t="shared" si="69"/>
        <v>5483.333333333334</v>
      </c>
      <c r="BJ22" s="155">
        <f t="shared" si="69"/>
        <v>5483.333333333334</v>
      </c>
      <c r="BK22" s="155">
        <f t="shared" si="69"/>
        <v>8443.166666666666</v>
      </c>
      <c r="BL22" s="155">
        <f t="shared" si="69"/>
        <v>8443.166666666666</v>
      </c>
      <c r="BM22" s="155">
        <f t="shared" si="69"/>
        <v>8443.166666666666</v>
      </c>
      <c r="BN22" s="155">
        <f t="shared" si="69"/>
        <v>8443.166666666666</v>
      </c>
      <c r="BO22" s="155">
        <f t="shared" si="69"/>
        <v>8443.166666666666</v>
      </c>
      <c r="BP22" s="155">
        <f t="shared" si="69"/>
        <v>8443.166666666666</v>
      </c>
      <c r="BQ22" s="155">
        <f t="shared" si="69"/>
        <v>8443.166666666666</v>
      </c>
      <c r="BR22" s="155">
        <f t="shared" si="69"/>
        <v>8443.166666666666</v>
      </c>
      <c r="BS22" s="155">
        <f t="shared" si="69"/>
        <v>8443.166666666666</v>
      </c>
      <c r="BT22" s="155">
        <f t="shared" si="69"/>
        <v>8443.166666666666</v>
      </c>
      <c r="BU22" s="155">
        <f t="shared" si="69"/>
        <v>8443.166666666666</v>
      </c>
      <c r="BV22" s="155">
        <f t="shared" si="69"/>
        <v>8443.166666666666</v>
      </c>
      <c r="BW22" s="155">
        <f t="shared" si="69"/>
        <v>11496.753333333336</v>
      </c>
      <c r="BX22" s="155">
        <f t="shared" si="69"/>
        <v>11465.206666666669</v>
      </c>
      <c r="BY22" s="155">
        <f t="shared" si="69"/>
        <v>11717.580000000004</v>
      </c>
      <c r="BZ22" s="155">
        <f t="shared" si="69"/>
        <v>11717.580000000004</v>
      </c>
      <c r="CA22" s="155">
        <f t="shared" si="69"/>
        <v>11717.580000000004</v>
      </c>
      <c r="CB22" s="155">
        <f t="shared" si="69"/>
        <v>11717.580000000004</v>
      </c>
      <c r="CC22" s="155">
        <f t="shared" si="69"/>
        <v>11717.580000000004</v>
      </c>
      <c r="CD22" s="155">
        <f t="shared" si="69"/>
        <v>11717.580000000004</v>
      </c>
      <c r="CE22" s="155">
        <f t="shared" si="69"/>
        <v>11717.580000000004</v>
      </c>
      <c r="CF22" s="155">
        <f t="shared" si="69"/>
        <v>11717.580000000004</v>
      </c>
      <c r="CG22" s="155">
        <f t="shared" si="69"/>
        <v>11717.580000000004</v>
      </c>
      <c r="CH22" s="158">
        <f t="shared" si="69"/>
        <v>11717.580000000004</v>
      </c>
    </row>
    <row r="23" spans="1:86" ht="15.75" thickBot="1" thickTop="1">
      <c r="A23" s="159" t="s">
        <v>130</v>
      </c>
      <c r="B23" s="160"/>
      <c r="C23" s="161"/>
      <c r="D23" s="161"/>
      <c r="E23" s="162"/>
      <c r="F23" s="163"/>
      <c r="G23" s="163"/>
      <c r="H23" s="163"/>
      <c r="I23" s="163"/>
      <c r="J23" s="162"/>
      <c r="K23" s="164">
        <f>K20+K22+K21</f>
        <v>1079900</v>
      </c>
      <c r="L23" s="164">
        <f>L20+L22+L21</f>
        <v>1657144</v>
      </c>
      <c r="M23" s="164">
        <f>M20+M22+M21</f>
        <v>2288212.48</v>
      </c>
      <c r="N23" s="165">
        <f>N20+N22+N21</f>
        <v>0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6">
        <f aca="true" t="shared" si="70" ref="AY23:CH23">AY20+AY22+AY21</f>
        <v>90866.66666666666</v>
      </c>
      <c r="AZ23" s="164">
        <f t="shared" si="70"/>
        <v>90866.66666666666</v>
      </c>
      <c r="BA23" s="164">
        <f t="shared" si="70"/>
        <v>90866.66666666666</v>
      </c>
      <c r="BB23" s="164">
        <f t="shared" si="70"/>
        <v>90866.66666666666</v>
      </c>
      <c r="BC23" s="164">
        <f t="shared" si="70"/>
        <v>90866.66666666666</v>
      </c>
      <c r="BD23" s="164">
        <f t="shared" si="70"/>
        <v>90866.66666666666</v>
      </c>
      <c r="BE23" s="164">
        <f t="shared" si="70"/>
        <v>90866.66666666666</v>
      </c>
      <c r="BF23" s="164">
        <f t="shared" si="70"/>
        <v>90866.66666666666</v>
      </c>
      <c r="BG23" s="164">
        <f t="shared" si="70"/>
        <v>90866.66666666666</v>
      </c>
      <c r="BH23" s="164">
        <f t="shared" si="70"/>
        <v>90866.66666666666</v>
      </c>
      <c r="BI23" s="164">
        <f t="shared" si="70"/>
        <v>90866.66666666666</v>
      </c>
      <c r="BJ23" s="164">
        <f t="shared" si="70"/>
        <v>90866.66666666666</v>
      </c>
      <c r="BK23" s="164">
        <f t="shared" si="70"/>
        <v>139915.3333333333</v>
      </c>
      <c r="BL23" s="164">
        <f t="shared" si="70"/>
        <v>139915.3333333333</v>
      </c>
      <c r="BM23" s="164">
        <f t="shared" si="70"/>
        <v>139915.3333333333</v>
      </c>
      <c r="BN23" s="164">
        <f t="shared" si="70"/>
        <v>139915.3333333333</v>
      </c>
      <c r="BO23" s="164">
        <f t="shared" si="70"/>
        <v>139915.3333333333</v>
      </c>
      <c r="BP23" s="164">
        <f t="shared" si="70"/>
        <v>139915.3333333333</v>
      </c>
      <c r="BQ23" s="164">
        <f t="shared" si="70"/>
        <v>139915.3333333333</v>
      </c>
      <c r="BR23" s="164">
        <f t="shared" si="70"/>
        <v>139915.3333333333</v>
      </c>
      <c r="BS23" s="164">
        <f t="shared" si="70"/>
        <v>139915.3333333333</v>
      </c>
      <c r="BT23" s="164">
        <f t="shared" si="70"/>
        <v>139915.3333333333</v>
      </c>
      <c r="BU23" s="164">
        <f t="shared" si="70"/>
        <v>139915.3333333333</v>
      </c>
      <c r="BV23" s="164">
        <f t="shared" si="70"/>
        <v>139915.3333333333</v>
      </c>
      <c r="BW23" s="164">
        <f t="shared" si="70"/>
        <v>190517.62666666668</v>
      </c>
      <c r="BX23" s="164">
        <f t="shared" si="70"/>
        <v>189994.85333333336</v>
      </c>
      <c r="BY23" s="164">
        <f t="shared" si="70"/>
        <v>194177.04000000004</v>
      </c>
      <c r="BZ23" s="164">
        <f t="shared" si="70"/>
        <v>194177.04000000004</v>
      </c>
      <c r="CA23" s="164">
        <f t="shared" si="70"/>
        <v>194177.04000000004</v>
      </c>
      <c r="CB23" s="164">
        <f t="shared" si="70"/>
        <v>194177.04000000004</v>
      </c>
      <c r="CC23" s="164">
        <f t="shared" si="70"/>
        <v>194177.04000000004</v>
      </c>
      <c r="CD23" s="164">
        <f t="shared" si="70"/>
        <v>194177.04000000004</v>
      </c>
      <c r="CE23" s="164">
        <f t="shared" si="70"/>
        <v>194177.04000000004</v>
      </c>
      <c r="CF23" s="164">
        <f t="shared" si="70"/>
        <v>194177.04000000004</v>
      </c>
      <c r="CG23" s="164">
        <f t="shared" si="70"/>
        <v>194177.04000000004</v>
      </c>
      <c r="CH23" s="167">
        <f t="shared" si="70"/>
        <v>194177.04000000004</v>
      </c>
    </row>
    <row r="24" spans="4:86" ht="13.5">
      <c r="D24" s="2"/>
      <c r="E24" s="2"/>
      <c r="F24" s="3"/>
      <c r="G24" s="3"/>
      <c r="H24" s="3"/>
      <c r="I24" s="3"/>
      <c r="J24" s="2"/>
      <c r="K24" s="4"/>
      <c r="L24" s="4"/>
      <c r="M24" s="4"/>
      <c r="N24" s="2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</row>
    <row r="25" spans="1:14" ht="13.5">
      <c r="A25" s="168" t="s">
        <v>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86" ht="13.5">
      <c r="A26" s="169"/>
      <c r="K26" s="128"/>
      <c r="L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</row>
    <row r="27" ht="13.5">
      <c r="A27" s="5"/>
    </row>
    <row r="28" spans="1:11" ht="13.5">
      <c r="A28" s="5"/>
      <c r="K28" s="128"/>
    </row>
    <row r="29" ht="13.5">
      <c r="A29" s="5"/>
    </row>
    <row r="30" ht="13.5">
      <c r="A30" s="5"/>
    </row>
    <row r="31" ht="13.5">
      <c r="A31" s="5"/>
    </row>
    <row r="32" ht="13.5">
      <c r="A32" s="5"/>
    </row>
    <row r="33" ht="13.5">
      <c r="A33" s="5"/>
    </row>
    <row r="34" ht="13.5">
      <c r="A34" s="5"/>
    </row>
    <row r="35" ht="13.5">
      <c r="A35" s="5"/>
    </row>
    <row r="36" ht="13.5">
      <c r="A36" s="170"/>
    </row>
    <row r="37" ht="13.5">
      <c r="A37" s="5"/>
    </row>
    <row r="38" ht="13.5">
      <c r="A38" s="6"/>
    </row>
    <row r="39" ht="13.5">
      <c r="A39" s="5"/>
    </row>
    <row r="40" ht="13.5">
      <c r="A40" s="6"/>
    </row>
    <row r="41" ht="13.5">
      <c r="A41" s="6"/>
    </row>
    <row r="42" ht="13.5">
      <c r="A42" s="6"/>
    </row>
    <row r="43" ht="13.5">
      <c r="A43" s="5"/>
    </row>
    <row r="44" ht="13.5">
      <c r="A44" s="171"/>
    </row>
  </sheetData>
  <mergeCells count="4">
    <mergeCell ref="B7:D7"/>
    <mergeCell ref="F7:I7"/>
    <mergeCell ref="O7:AX7"/>
    <mergeCell ref="AY7:CH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workbookViewId="0" topLeftCell="B1">
      <selection activeCell="J10" sqref="J10"/>
    </sheetView>
  </sheetViews>
  <sheetFormatPr defaultColWidth="9.00390625" defaultRowHeight="12.75"/>
  <cols>
    <col min="1" max="1" width="32.375" style="1" customWidth="1"/>
    <col min="2" max="2" width="10.375" style="1" bestFit="1" customWidth="1"/>
    <col min="3" max="3" width="9.625" style="1" bestFit="1" customWidth="1"/>
    <col min="4" max="4" width="10.375" style="1" bestFit="1" customWidth="1"/>
    <col min="5" max="5" width="12.625" style="1" bestFit="1" customWidth="1"/>
    <col min="6" max="16384" width="9.00390625" style="1" customWidth="1"/>
  </cols>
  <sheetData>
    <row r="1" spans="1:10" ht="13.5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5" ht="13.5">
      <c r="A2" s="12" t="s">
        <v>96</v>
      </c>
      <c r="B2" s="12" t="s">
        <v>49</v>
      </c>
      <c r="C2" s="12" t="s">
        <v>98</v>
      </c>
      <c r="D2" s="12" t="s">
        <v>50</v>
      </c>
      <c r="E2" s="12" t="s">
        <v>51</v>
      </c>
    </row>
    <row r="3" spans="1:5" ht="13.5">
      <c r="A3" s="1" t="s">
        <v>87</v>
      </c>
      <c r="B3" s="1">
        <v>65</v>
      </c>
      <c r="C3" s="177">
        <f>B3/$B$13</f>
        <v>0.080545229244114</v>
      </c>
      <c r="D3" s="7">
        <v>35</v>
      </c>
      <c r="E3" s="178">
        <f>B3*D3</f>
        <v>2275</v>
      </c>
    </row>
    <row r="4" spans="1:5" ht="13.5">
      <c r="A4" s="1" t="s">
        <v>88</v>
      </c>
      <c r="B4" s="1">
        <v>351</v>
      </c>
      <c r="C4" s="177">
        <f aca="true" t="shared" si="0" ref="C4:C12">B4/$B$13</f>
        <v>0.4349442379182156</v>
      </c>
      <c r="D4" s="7">
        <v>50</v>
      </c>
      <c r="E4" s="178">
        <f aca="true" t="shared" si="1" ref="E4:E12">B4*D4</f>
        <v>17550</v>
      </c>
    </row>
    <row r="5" spans="1:5" ht="13.5">
      <c r="A5" s="1" t="s">
        <v>89</v>
      </c>
      <c r="B5" s="1">
        <v>280</v>
      </c>
      <c r="C5" s="177">
        <f t="shared" si="0"/>
        <v>0.3469640644361834</v>
      </c>
      <c r="D5" s="7">
        <v>175</v>
      </c>
      <c r="E5" s="178">
        <f t="shared" si="1"/>
        <v>49000</v>
      </c>
    </row>
    <row r="6" spans="1:5" ht="13.5">
      <c r="A6" s="1" t="s">
        <v>90</v>
      </c>
      <c r="B6" s="1">
        <v>53</v>
      </c>
      <c r="C6" s="177">
        <f t="shared" si="0"/>
        <v>0.06567534076827757</v>
      </c>
      <c r="D6" s="7">
        <v>375</v>
      </c>
      <c r="E6" s="178">
        <f t="shared" si="1"/>
        <v>19875</v>
      </c>
    </row>
    <row r="7" spans="1:5" ht="13.5">
      <c r="A7" s="1" t="s">
        <v>91</v>
      </c>
      <c r="B7" s="1">
        <v>24</v>
      </c>
      <c r="C7" s="177">
        <f t="shared" si="0"/>
        <v>0.02973977695167286</v>
      </c>
      <c r="D7" s="7">
        <v>750</v>
      </c>
      <c r="E7" s="178">
        <f t="shared" si="1"/>
        <v>18000</v>
      </c>
    </row>
    <row r="8" spans="1:5" ht="13.5">
      <c r="A8" s="1" t="s">
        <v>92</v>
      </c>
      <c r="B8" s="1">
        <v>16</v>
      </c>
      <c r="C8" s="177">
        <f t="shared" si="0"/>
        <v>0.01982651796778191</v>
      </c>
      <c r="D8" s="7">
        <v>1500</v>
      </c>
      <c r="E8" s="178">
        <f t="shared" si="1"/>
        <v>24000</v>
      </c>
    </row>
    <row r="9" spans="1:5" ht="13.5">
      <c r="A9" s="1" t="s">
        <v>93</v>
      </c>
      <c r="B9" s="1">
        <v>4</v>
      </c>
      <c r="C9" s="177">
        <f t="shared" si="0"/>
        <v>0.004956629491945477</v>
      </c>
      <c r="D9" s="7">
        <v>2500</v>
      </c>
      <c r="E9" s="178">
        <f t="shared" si="1"/>
        <v>10000</v>
      </c>
    </row>
    <row r="10" spans="1:5" ht="13.5">
      <c r="A10" s="1" t="s">
        <v>4</v>
      </c>
      <c r="B10" s="1">
        <v>7</v>
      </c>
      <c r="C10" s="177">
        <f t="shared" si="0"/>
        <v>0.008674101610904586</v>
      </c>
      <c r="D10" s="7">
        <v>5000</v>
      </c>
      <c r="E10" s="178">
        <f t="shared" si="1"/>
        <v>35000</v>
      </c>
    </row>
    <row r="11" spans="1:5" ht="13.5">
      <c r="A11" s="1" t="s">
        <v>94</v>
      </c>
      <c r="B11" s="1">
        <v>2</v>
      </c>
      <c r="C11" s="177">
        <f t="shared" si="0"/>
        <v>0.0024783147459727386</v>
      </c>
      <c r="D11" s="7">
        <v>10000</v>
      </c>
      <c r="E11" s="178">
        <f t="shared" si="1"/>
        <v>20000</v>
      </c>
    </row>
    <row r="12" spans="1:5" ht="13.5">
      <c r="A12" s="1" t="s">
        <v>95</v>
      </c>
      <c r="B12" s="1">
        <v>5</v>
      </c>
      <c r="C12" s="177">
        <f t="shared" si="0"/>
        <v>0.006195786864931847</v>
      </c>
      <c r="D12" s="7">
        <v>25000</v>
      </c>
      <c r="E12" s="178">
        <f t="shared" si="1"/>
        <v>125000</v>
      </c>
    </row>
    <row r="13" spans="1:5" s="179" customFormat="1" ht="13.5">
      <c r="A13" s="179" t="s">
        <v>97</v>
      </c>
      <c r="B13" s="179">
        <f>SUM(B3:B12)</f>
        <v>807</v>
      </c>
      <c r="E13" s="187">
        <f>SUM(E3:E12)</f>
        <v>320700</v>
      </c>
    </row>
    <row r="15" spans="1:3" ht="13.5">
      <c r="A15" s="1" t="s">
        <v>2</v>
      </c>
      <c r="B15" s="182">
        <v>180000</v>
      </c>
      <c r="C15" s="177"/>
    </row>
    <row r="16" spans="1:3" ht="13.5">
      <c r="A16" s="1" t="s">
        <v>3</v>
      </c>
      <c r="B16" s="182">
        <v>1200</v>
      </c>
      <c r="C16" s="177"/>
    </row>
    <row r="17" spans="1:2" ht="13.5">
      <c r="A17" s="1" t="s">
        <v>20</v>
      </c>
      <c r="B17" s="177">
        <f>B16/B15</f>
        <v>0.006666666666666667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CUNY Graduate School of Journalism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CUNY Graduate School of Journalism</dc:creator>
  <cp:keywords/>
  <dc:description/>
  <cp:lastModifiedBy>CUNY</cp:lastModifiedBy>
  <cp:lastPrinted>2009-07-16T14:59:02Z</cp:lastPrinted>
  <dcterms:created xsi:type="dcterms:W3CDTF">2009-07-08T15:08:29Z</dcterms:created>
  <dcterms:modified xsi:type="dcterms:W3CDTF">2010-02-11T19:13:49Z</dcterms:modified>
  <cp:category/>
  <cp:version/>
  <cp:contentType/>
  <cp:contentStatus/>
</cp:coreProperties>
</file>