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16" windowWidth="28600" windowHeight="18440" tabRatio="898" activeTab="0"/>
  </bookViews>
  <sheets>
    <sheet name="Summary" sheetId="1" r:id="rId1"/>
    <sheet name="Income Statement" sheetId="2" r:id="rId2"/>
    <sheet name="Expenses - Website" sheetId="3" r:id="rId3"/>
    <sheet name="Staffing" sheetId="4" r:id="rId4"/>
    <sheet name="Revenue - Website" sheetId="5" r:id="rId5"/>
    <sheet name="Revenue - B-to-C" sheetId="6" r:id="rId6"/>
    <sheet name="Expenses- BtoC" sheetId="7" r:id="rId7"/>
    <sheet name="Profits by Service - BtoC" sheetId="8" r:id="rId8"/>
    <sheet name="Expenses- B-to-B" sheetId="9" r:id="rId9"/>
    <sheet name="Revenue - B-to-B" sheetId="10" r:id="rId10"/>
    <sheet name="Profits by Service- B-to-B" sheetId="11" r:id="rId11"/>
    <sheet name="Cash Flow-Year 1" sheetId="12" r:id="rId12"/>
    <sheet name="Unique Visitor Calculations" sheetId="13" r:id="rId13"/>
  </sheets>
  <definedNames>
    <definedName name="_xlnm.Print_Area" localSheetId="3">'Staffing'!$A$1:$I$92</definedName>
    <definedName name="_xlnm.Print_Titles" localSheetId="3">'Staffing'!$58:$59</definedName>
  </definedNames>
  <calcPr fullCalcOnLoad="1"/>
</workbook>
</file>

<file path=xl/comments6.xml><?xml version="1.0" encoding="utf-8"?>
<comments xmlns="http://schemas.openxmlformats.org/spreadsheetml/2006/main">
  <authors>
    <author>Yen-hsing Wang</author>
  </authors>
  <commentList>
    <comment ref="F45" authorId="0">
      <text>
        <r>
          <rPr>
            <b/>
            <sz val="9"/>
            <rFont val="Arial"/>
            <family val="0"/>
          </rPr>
          <t>Nancy Wang:</t>
        </r>
        <r>
          <rPr>
            <sz val="9"/>
            <rFont val="Arial"/>
            <family val="0"/>
          </rPr>
          <t xml:space="preserve">
http://74.125.47.132/search?q=cache:AvYMX_xRdZcJ:www.costhelper.com/cost/electronics/text-messaging.html+text+message+cost&amp;cd=4&amp;hl=en&amp;ct=clnk&amp;gl=us&amp;client=firefox-a</t>
        </r>
      </text>
    </comment>
  </commentList>
</comments>
</file>

<file path=xl/sharedStrings.xml><?xml version="1.0" encoding="utf-8"?>
<sst xmlns="http://schemas.openxmlformats.org/spreadsheetml/2006/main" count="2215" uniqueCount="589">
  <si>
    <t>Sales commission / event</t>
  </si>
  <si>
    <t>LISTING SALES FROM LOCAL BUSINESSES</t>
  </si>
  <si>
    <t>- print titles with top lists</t>
  </si>
  <si>
    <t>% of businesses that buy a listing</t>
  </si>
  <si>
    <t>Number of businesses that buy a listing</t>
  </si>
  <si>
    <t>Number of print titles</t>
  </si>
  <si>
    <t>Number of copies / title</t>
  </si>
  <si>
    <t>% of copies sold</t>
  </si>
  <si>
    <t>Price per copy</t>
  </si>
  <si>
    <t>Number of total pages</t>
  </si>
  <si>
    <t>% of ad pages</t>
  </si>
  <si>
    <t>Online sales</t>
  </si>
  <si>
    <t>Print sales</t>
  </si>
  <si>
    <t>CONFERENCES</t>
  </si>
  <si>
    <t>(organization of themed conferences, like real estate conferences, car sales conferences, financial services conferences, seniors conferences, healthcare conferences)</t>
  </si>
  <si>
    <t>- ticket sales to enter the conferences</t>
  </si>
  <si>
    <t>- booth fee for local business</t>
  </si>
  <si>
    <t>- fee for local businesses to present at the conference</t>
  </si>
  <si>
    <t>% of businesses in target market / conference</t>
  </si>
  <si>
    <t>% of businesses to go to a conference</t>
  </si>
  <si>
    <t>Number of businesses that go to a conference</t>
  </si>
  <si>
    <t>% of businesses participating in a conference</t>
  </si>
  <si>
    <t>Number of businesses participating in a conference</t>
  </si>
  <si>
    <t>% of businesses participating that present</t>
  </si>
  <si>
    <t>Revenue base for citizen journalists for 1 site</t>
  </si>
  <si>
    <t>Consumer revenue</t>
  </si>
  <si>
    <t>Annual sub fee for submissions</t>
  </si>
  <si>
    <t>Average number of responses / business</t>
  </si>
  <si>
    <t>Average fee / response</t>
  </si>
  <si>
    <t>Annual sub fee for responses</t>
  </si>
  <si>
    <t>Number of UV for main site</t>
  </si>
  <si>
    <t>Number of UV for marketplace</t>
  </si>
  <si>
    <t>Number of PV</t>
  </si>
  <si>
    <t>Ad revenue</t>
  </si>
  <si>
    <t>Subscriptions</t>
  </si>
  <si>
    <t>SITE BUILDER: DON'T DO DUE TO STRONG COMPETITION</t>
  </si>
  <si>
    <t>- one-time low flat fee to build the site</t>
  </si>
  <si>
    <t>- additional flat fee to build the store</t>
  </si>
  <si>
    <t>- annual subscription to maintain the site</t>
  </si>
  <si>
    <t>- percentage of all sales</t>
  </si>
  <si>
    <t>% of businesses to build site</t>
  </si>
  <si>
    <t>Number of businesses to build site</t>
  </si>
  <si>
    <t>% of businesses that need site + store</t>
  </si>
  <si>
    <t>Number of businesses that need site + store</t>
  </si>
  <si>
    <t>Average fee / set-up site</t>
  </si>
  <si>
    <t>Average fee / set-up site and store</t>
  </si>
  <si>
    <t>Monthly subscription</t>
  </si>
  <si>
    <t>% of sales</t>
  </si>
  <si>
    <t>- $ / PV / store</t>
  </si>
  <si>
    <t>- Average PV / store</t>
  </si>
  <si>
    <t>- Commission %</t>
  </si>
  <si>
    <t>Businesses to build site</t>
  </si>
  <si>
    <t>Businesses to build site + store</t>
  </si>
  <si>
    <t>TRAINING IN SALES &amp; MARKETING FOR LOCAL BUSINESSES</t>
  </si>
  <si>
    <t>- online tutorials-- fee / tutorial</t>
  </si>
  <si>
    <t>Business revenue</t>
  </si>
  <si>
    <t>B-TO-C SERVICES: PROFIT</t>
  </si>
  <si>
    <t>Revenue</t>
  </si>
  <si>
    <t>Expenses</t>
  </si>
  <si>
    <t>LISTING SALES OF LOCAL BUSINESSES: DON'T THINK THAT THERE IS A SUBSTANTIVE BUSINESS DUE TO FIERCE COMPETITION (YP.COM)</t>
  </si>
  <si>
    <t>B-TO-C SERVICES: EXPENSES</t>
  </si>
  <si>
    <t>Start-up cost</t>
  </si>
  <si>
    <t>To pay person to put the deal in place</t>
  </si>
  <si>
    <t>Ongoing costs</t>
  </si>
  <si>
    <t>For editorial and design concept, and advertising strategy/materials</t>
  </si>
  <si>
    <t>Project manager</t>
  </si>
  <si>
    <t>Sales commission only (% of ad revenue)</t>
  </si>
  <si>
    <t>Sales commission / issue</t>
  </si>
  <si>
    <t>Pre-press / issue</t>
  </si>
  <si>
    <t>Design cost; most of the copy is the aggregation of content; other editorial costs covered by project manager who is also a journalist</t>
  </si>
  <si>
    <t>Printing (52 pages) / issue</t>
  </si>
  <si>
    <t>Distribution / issue</t>
  </si>
  <si>
    <t>Avg 100 copies / location  = 500 locations; drop every 15 min; 16 people; $10/hr + gas/truck/organization = $25/hr</t>
  </si>
  <si>
    <t>Space rental / event</t>
  </si>
  <si>
    <t>Space staff budget / event</t>
  </si>
  <si>
    <t>Sales commission only (% of sponsor revenue)</t>
  </si>
  <si>
    <t>GENERAL ASSUMPTIONS</t>
  </si>
  <si>
    <t>% of businesses subscribing</t>
  </si>
  <si>
    <t>Number of businesses subscribing / industry</t>
  </si>
  <si>
    <t>Average sub / newsletter</t>
  </si>
  <si>
    <t>BUSINESSES FOR SALE AND FUNDING</t>
  </si>
  <si>
    <t>(online place where businesses list their own for sale; and where businesses request funding)</t>
  </si>
  <si>
    <t>- one-time flat fee payment to respond to any posting</t>
  </si>
  <si>
    <t>% of businesses for sale</t>
  </si>
  <si>
    <t>Number of businesses for sale</t>
  </si>
  <si>
    <t>% of businesses for sale- &gt;$1M</t>
  </si>
  <si>
    <t>% of businesses for sale- bet $500K-$1M</t>
  </si>
  <si>
    <t>% of businesses for sale- &lt;$500K</t>
  </si>
  <si>
    <t>% of businesses seeking funding</t>
  </si>
  <si>
    <t>Number of businesses seeking funding</t>
  </si>
  <si>
    <t>% of businesses for funds- &gt;$1M</t>
  </si>
  <si>
    <t>% of businesses for funds- bet $500K-$1M</t>
  </si>
  <si>
    <t>% of businesses for funds- &lt;$500K</t>
  </si>
  <si>
    <t>% of businesses responding</t>
  </si>
  <si>
    <t>Average fee / sale post</t>
  </si>
  <si>
    <t xml:space="preserve"> &gt;$1M</t>
  </si>
  <si>
    <t>bet $500K-$1M</t>
  </si>
  <si>
    <t xml:space="preserve"> &lt;$500K</t>
  </si>
  <si>
    <t>Average fee / funds post</t>
  </si>
  <si>
    <t>Businesses for sale posts</t>
  </si>
  <si>
    <t>Businesses seeking funding posts</t>
  </si>
  <si>
    <t>Businesses responding</t>
  </si>
  <si>
    <t>EMAIL CAMPAIGN SERVICE</t>
  </si>
  <si>
    <t>- upfront set-up fee (which includes providing results)</t>
  </si>
  <si>
    <t>SERIES OF IPHONE APPS</t>
  </si>
  <si>
    <t xml:space="preserve"> (sports apps for the local teams )</t>
  </si>
  <si>
    <t>- purchase of the app</t>
  </si>
  <si>
    <t>% of adults interested in sports</t>
  </si>
  <si>
    <t>% of adults purchasing app launch in yr 2</t>
  </si>
  <si>
    <t>Number of adults purchasing app launch in yr2</t>
  </si>
  <si>
    <t>% of adults purchasing app launch in yr 3</t>
  </si>
  <si>
    <t>Number of adults purchasing app launch yr3</t>
  </si>
  <si>
    <t>Number of apps</t>
  </si>
  <si>
    <t>Price of app</t>
  </si>
  <si>
    <t>LOCAL SHOPPING COMPARISON APP: DON'T THINK IT'S DOABLE DUE TO COST OF DATA COLLECTION</t>
  </si>
  <si>
    <t>(compare prices in local area among merchants; show location)</t>
  </si>
  <si>
    <t>- annual subscription for local businesses to be in the database</t>
  </si>
  <si>
    <t>- basic app is free for consumers</t>
  </si>
  <si>
    <t>- subscription for consumers to access full answers (partial answer showing the price, but not location is free)</t>
  </si>
  <si>
    <t>% of adults using basic app</t>
  </si>
  <si>
    <t>% of adults using full app</t>
  </si>
  <si>
    <t>Average annual sub for full app / person</t>
  </si>
  <si>
    <t>Number of businesses in database</t>
  </si>
  <si>
    <t>Average annual sub / business</t>
  </si>
  <si>
    <t>TOTAL STAFFING: MAIN SITE + B-TO-C SERVICES + B-TO-B SERVICES (SEE BELOW FOR BREAKOUT BY AREA AND REVENUE STREAM)</t>
  </si>
  <si>
    <t>Base *</t>
  </si>
  <si>
    <t>Journalist/Community Mgr/Blogger</t>
  </si>
  <si>
    <t>Other editorial staff (top editor, factcheckers, etc)</t>
  </si>
  <si>
    <t>Freelance Sales (base, no commission factored here)</t>
  </si>
  <si>
    <t>Sales team</t>
  </si>
  <si>
    <t>MANAGEMENT, ADMIN &amp; SERVICES</t>
  </si>
  <si>
    <t>CEO/COO/CFO</t>
  </si>
  <si>
    <t>Business Head</t>
  </si>
  <si>
    <t>Project Manager</t>
  </si>
  <si>
    <t>Researcher</t>
  </si>
  <si>
    <t>Graphic Designer</t>
  </si>
  <si>
    <t>Admin</t>
  </si>
  <si>
    <t>Payroll/Tech Support/ Other</t>
  </si>
  <si>
    <t>TOTAL - Management &amp; Admin</t>
  </si>
  <si>
    <t>SEO</t>
  </si>
  <si>
    <t>DBA</t>
  </si>
  <si>
    <t>Developer</t>
  </si>
  <si>
    <t>TOTAL ANNUAL SALARY COST</t>
  </si>
  <si>
    <t>NOTE: * $6,500 / month average salary across NNO team</t>
  </si>
  <si>
    <t>MAIN SITE: STAFFING</t>
  </si>
  <si>
    <t>Payroll/Tech Support/Other Admin</t>
  </si>
  <si>
    <t>B-TO-C SERVICES: STAFFING</t>
  </si>
  <si>
    <t>Base</t>
  </si>
  <si>
    <t>SPECIAL/THEMED ISSUES</t>
  </si>
  <si>
    <t>Project manager (P/T)</t>
  </si>
  <si>
    <t xml:space="preserve">TOTAL </t>
  </si>
  <si>
    <t>Researcher- address qualification</t>
  </si>
  <si>
    <t>Admin/Customer Service</t>
  </si>
  <si>
    <t>LOCAL WEBSITES</t>
  </si>
  <si>
    <t>Business head</t>
  </si>
  <si>
    <t>Editorial team</t>
  </si>
  <si>
    <t>Community manager</t>
  </si>
  <si>
    <t>Sales team(base salary; no commission)</t>
  </si>
  <si>
    <t>Graphic designer</t>
  </si>
  <si>
    <t>Start-up and ongoing costs</t>
  </si>
  <si>
    <t>Minimal costs to start and maintain</t>
  </si>
  <si>
    <t>Number of addresses purchased</t>
  </si>
  <si>
    <t>Purchase cost / address</t>
  </si>
  <si>
    <t>Staff</t>
  </si>
  <si>
    <t>Team: Manager, editorial, sales, development</t>
  </si>
  <si>
    <t>Sales commission %</t>
  </si>
  <si>
    <t>- Sales commission / site launch in y2</t>
  </si>
  <si>
    <t>- Sales commission / site launch in y3</t>
  </si>
  <si>
    <t>- Sales commission TOTAL</t>
  </si>
  <si>
    <t>Citizen journalism network</t>
  </si>
  <si>
    <t>produce 50% of content</t>
  </si>
  <si>
    <t>- % of PV / site</t>
  </si>
  <si>
    <t>- Ad revenue sharing % / site</t>
  </si>
  <si>
    <t>- Income to the citizen journalists / site launch in yr2</t>
  </si>
  <si>
    <t>- Income to the citizen journalists / site launch in yr3</t>
  </si>
  <si>
    <t>- Income to the citizen journalists TOTAL</t>
  </si>
  <si>
    <t>Marketing budget</t>
  </si>
  <si>
    <t>Using same assumptions as in main site</t>
  </si>
  <si>
    <t>- Rent &amp; Utilites / site launch in yr2</t>
  </si>
  <si>
    <t>- Rent &amp; Utilites / site launch in yr3</t>
  </si>
  <si>
    <t>- Rent &amp; Utilites TOTAL</t>
  </si>
  <si>
    <t>Hosting</t>
  </si>
  <si>
    <t xml:space="preserve">B-TO-B SERVICES: REVENUE </t>
  </si>
  <si>
    <t>Conferences</t>
  </si>
  <si>
    <t>Don't do due to strong competition</t>
  </si>
  <si>
    <t>Not included in this model</t>
  </si>
  <si>
    <t>- free to submit RFPs up to 3 RFPs (after 3, one-time flat fee payment to pay per submission; annual subscription to submit unlimited RFPs)</t>
  </si>
  <si>
    <t>- respond to / bid on RFPs - one-time payment to respond to a specific RFP; annual subscription to respond to / bid on unlimited RFPs)</t>
  </si>
  <si>
    <t>- one-time flat fee payment to post business for sale (3 pricing tiers dependent on the price of the business)</t>
  </si>
  <si>
    <t>- one-time flat fee payment to post request for funding (3 pricing tiers dependent on the amount of funding requested)</t>
  </si>
  <si>
    <t>- 2 options: with or without store / payment system (model amazon store)</t>
  </si>
  <si>
    <t>Wages and benefits</t>
  </si>
  <si>
    <t>SUBTOTAL</t>
  </si>
  <si>
    <t>SubTotal</t>
  </si>
  <si>
    <t>Start-up</t>
  </si>
  <si>
    <t xml:space="preserve">SubTotal </t>
  </si>
  <si>
    <t>Year 1</t>
  </si>
  <si>
    <t>Year 2</t>
  </si>
  <si>
    <t>Year 3</t>
  </si>
  <si>
    <t>CPC</t>
  </si>
  <si>
    <t>Mth 1</t>
  </si>
  <si>
    <t>Mth 2</t>
  </si>
  <si>
    <t>Mth 3</t>
  </si>
  <si>
    <t>Mth 4</t>
  </si>
  <si>
    <t>SUBSCRIPTIONS</t>
  </si>
  <si>
    <t>ADVERTISING</t>
  </si>
  <si>
    <t>INCOME STATEMENT</t>
  </si>
  <si>
    <t>Notes</t>
  </si>
  <si>
    <t>(idea is to be central / go-to place for all local events)</t>
  </si>
  <si>
    <t>Monthly unique visitors</t>
  </si>
  <si>
    <t>- price per email</t>
  </si>
  <si>
    <t>% of businesses for email campaign</t>
  </si>
  <si>
    <t>Number of business participating that present</t>
  </si>
  <si>
    <t>Average price / ticket / conf / business</t>
  </si>
  <si>
    <t>Average number of people / business</t>
  </si>
  <si>
    <t>Average booth fee/ conf / business</t>
  </si>
  <si>
    <t>Average fee / business to present</t>
  </si>
  <si>
    <t>Businesses attending</t>
  </si>
  <si>
    <t>Businesses participating</t>
  </si>
  <si>
    <t>MARKETPLACE</t>
  </si>
  <si>
    <t>- NOTE: will also be able to find the local government RFPs (local and state)</t>
  </si>
  <si>
    <t>% of businesses submit RFPs (&gt;3)</t>
  </si>
  <si>
    <t>Number of businesses submit RFPs (&gt;3)</t>
  </si>
  <si>
    <t>% of businesses submitting- one-time</t>
  </si>
  <si>
    <t>Number of businesses submitting- one-time</t>
  </si>
  <si>
    <t>% of businesses submitting- annual sub</t>
  </si>
  <si>
    <t>Number of businesses submitting- annual sub</t>
  </si>
  <si>
    <t>% of businesses responding to RFP</t>
  </si>
  <si>
    <t>Number of businesses responding</t>
  </si>
  <si>
    <t>% of businesses responding- one-time</t>
  </si>
  <si>
    <t>Number of businesses respond- one-time</t>
  </si>
  <si>
    <t>% of businesses responding- annual sub</t>
  </si>
  <si>
    <t>Number of businesses respond- annual sub</t>
  </si>
  <si>
    <t>Average number of submissions / business</t>
  </si>
  <si>
    <t>Average fee / submission</t>
  </si>
  <si>
    <t>Display Ads</t>
  </si>
  <si>
    <t>Contextual Ads</t>
  </si>
  <si>
    <t>Editorial Staff</t>
  </si>
  <si>
    <t>EDITORIAL STAFF</t>
  </si>
  <si>
    <t>Sales &amp; Marketing Director</t>
  </si>
  <si>
    <t>TOTAL EXPENSES</t>
  </si>
  <si>
    <t>S,G&amp;A</t>
  </si>
  <si>
    <t>SALES &amp; MARKETING</t>
  </si>
  <si>
    <t>Page views / month</t>
  </si>
  <si>
    <t>Average sponsorship fee / week</t>
  </si>
  <si>
    <t>Number of sponsorships / week</t>
  </si>
  <si>
    <t>TOTAL - Sales &amp; Marketing</t>
  </si>
  <si>
    <t>ANNUAL SALARY COSTS</t>
  </si>
  <si>
    <t>Number of sponsorships / year</t>
  </si>
  <si>
    <t>% of sponsorship inventory sold</t>
  </si>
  <si>
    <t>Sponsorship revenue</t>
  </si>
  <si>
    <t>DEVELOPMENT</t>
  </si>
  <si>
    <t>TOTAL - Development</t>
  </si>
  <si>
    <t>Development</t>
  </si>
  <si>
    <t>Monthly page views</t>
  </si>
  <si>
    <t>CPC revenue</t>
  </si>
  <si>
    <t>CTR</t>
  </si>
  <si>
    <t>SALARIES</t>
  </si>
  <si>
    <t>Assumptions</t>
  </si>
  <si>
    <t>REVENUE</t>
  </si>
  <si>
    <t>EXPENSES</t>
  </si>
  <si>
    <t>B-to-C services</t>
  </si>
  <si>
    <t>SMS alerts</t>
  </si>
  <si>
    <t>Special/Themed issues</t>
  </si>
  <si>
    <t>Events</t>
  </si>
  <si>
    <t>B-TO-B SERVICES: STAFFING</t>
  </si>
  <si>
    <t>LISTING SALES- LOCAL BUSINESSES</t>
  </si>
  <si>
    <t>Project manager / Journalist</t>
  </si>
  <si>
    <t>Business head / Sales</t>
  </si>
  <si>
    <t>TRAINING IN SALES &amp; MARKETING</t>
  </si>
  <si>
    <t>Total e-newsletter services</t>
  </si>
  <si>
    <t>Number of new e-newsletter services</t>
  </si>
  <si>
    <t>- training in-person-- one-time flat fee to attend training session</t>
  </si>
  <si>
    <t>- white-label system for online training</t>
  </si>
  <si>
    <t>AT LOCAL NNO</t>
  </si>
  <si>
    <t>% of businesses for training- online tutorials</t>
  </si>
  <si>
    <t>Number of businesses- online tutorials</t>
  </si>
  <si>
    <t>% of businesses for training- in-person</t>
  </si>
  <si>
    <t>Number of businesses- in-person</t>
  </si>
  <si>
    <t>Average number of tutorials taken</t>
  </si>
  <si>
    <t>Average fee / online tutorials</t>
  </si>
  <si>
    <t>Average number of trainings attended</t>
  </si>
  <si>
    <t>Average fee / training</t>
  </si>
  <si>
    <t>WHITE-LABEL SYSTEM FOR ONLINE TRAINING</t>
  </si>
  <si>
    <t>Number of clients</t>
  </si>
  <si>
    <t>Fee / month</t>
  </si>
  <si>
    <t>% Revenue realization in year for start-up year</t>
  </si>
  <si>
    <t>Online tutorials</t>
  </si>
  <si>
    <t>In-person training sessions</t>
  </si>
  <si>
    <t>White-label system</t>
  </si>
  <si>
    <t>ONLINE SUBSCRIPTION TO WEEKLY E-NEWSLETTERS</t>
  </si>
  <si>
    <t>(only possible if the local area has a major industry or industries; create industry newsletter)</t>
  </si>
  <si>
    <t>- annual subscription for newsletter(s)</t>
  </si>
  <si>
    <t>% of businesses in target industry</t>
  </si>
  <si>
    <t>Number of businesses in target industry</t>
  </si>
  <si>
    <t>Chicago Tribune</t>
  </si>
  <si>
    <t>WashPo</t>
  </si>
  <si>
    <t>Boston Globe</t>
  </si>
  <si>
    <t>SF Chronicle</t>
  </si>
  <si>
    <t>Houston Chronicle</t>
  </si>
  <si>
    <t>Atlanta Journal Const.</t>
  </si>
  <si>
    <t>Seattle PI</t>
  </si>
  <si>
    <t>Minn Star Tribune</t>
  </si>
  <si>
    <t>Indianapolis Star</t>
  </si>
  <si>
    <t>Salt Lake City Tribune</t>
  </si>
  <si>
    <t>20% of mature avg</t>
  </si>
  <si>
    <t>40% of mature avg</t>
  </si>
  <si>
    <t>60% of mature avg</t>
  </si>
  <si>
    <t>Source:</t>
  </si>
  <si>
    <t>* http://www.boston.com/business/globe/articles/2007/11/06/online_figures/ : Audit Bureau of Circulations</t>
  </si>
  <si>
    <t>** US Census Bureau - CSA figures; est July 2008</t>
  </si>
  <si>
    <t>Web service development</t>
  </si>
  <si>
    <t>Start-up cost / person</t>
  </si>
  <si>
    <t>Management &amp; Admin</t>
  </si>
  <si>
    <t>Citizen Journalism Network</t>
  </si>
  <si>
    <t>Marketing</t>
  </si>
  <si>
    <t>Rent &amp; Utilities</t>
  </si>
  <si>
    <t>Hosting &amp; Tech Equipment</t>
  </si>
  <si>
    <t>Travel &amp; Misc</t>
  </si>
  <si>
    <t>Budget / person</t>
  </si>
  <si>
    <t>Number of persons</t>
  </si>
  <si>
    <t>HEADCOUNT</t>
  </si>
  <si>
    <t>Marketing &amp; Sales Staff</t>
  </si>
  <si>
    <t>Sponsorship</t>
  </si>
  <si>
    <t>Total Year 1</t>
  </si>
  <si>
    <t>Compensation Annual Increase</t>
  </si>
  <si>
    <t>TOTAL STAFF COUNT / SALARIES</t>
  </si>
  <si>
    <t>TOTAL - Editorial Staff</t>
  </si>
  <si>
    <t>Traffic</t>
  </si>
  <si>
    <t>TOTAL</t>
  </si>
  <si>
    <t>Average number of times for campaign</t>
  </si>
  <si>
    <t>Average number of emails / campaign</t>
  </si>
  <si>
    <t>Average fee / email</t>
  </si>
  <si>
    <t>B-TO-B SERVICES: EXPENSES</t>
  </si>
  <si>
    <t>Distribution / copy sold</t>
  </si>
  <si>
    <t>Distribution cost / issue</t>
  </si>
  <si>
    <t>Space rental / conference</t>
  </si>
  <si>
    <t>Space staff budget / conference</t>
  </si>
  <si>
    <t>Sales commission / conference</t>
  </si>
  <si>
    <t>- one-time flat fee to build the site</t>
  </si>
  <si>
    <t>Start with 20 tutorials and white-label system</t>
  </si>
  <si>
    <t>Service development</t>
  </si>
  <si>
    <t>each year add 10 more tutorials</t>
  </si>
  <si>
    <t>Sales commission only on in-person training</t>
  </si>
  <si>
    <t>- Sales %</t>
  </si>
  <si>
    <t xml:space="preserve">- Sales commission </t>
  </si>
  <si>
    <t>In-person training session costs</t>
  </si>
  <si>
    <t>- Number of training sessions</t>
  </si>
  <si>
    <t>- Room rental / session</t>
  </si>
  <si>
    <t>- Computers (10) / session</t>
  </si>
  <si>
    <t>- Trainer / session</t>
  </si>
  <si>
    <t>Sales commission only on white-label system</t>
  </si>
  <si>
    <t>Gross cost / e-newsletter / month</t>
  </si>
  <si>
    <t>B-TO-B SERVICES: PROFIT</t>
  </si>
  <si>
    <t>SITE BUILDER</t>
  </si>
  <si>
    <t>STAFFING</t>
  </si>
  <si>
    <t>Compensation Load Factor</t>
  </si>
  <si>
    <t>Mth 6</t>
  </si>
  <si>
    <t>Mth 7</t>
  </si>
  <si>
    <t>Mth 8</t>
  </si>
  <si>
    <t>Mth 9</t>
  </si>
  <si>
    <t>Mth 10</t>
  </si>
  <si>
    <t>Mth 11</t>
  </si>
  <si>
    <t>Mth 12</t>
  </si>
  <si>
    <t>Beginning UV</t>
  </si>
  <si>
    <t>Ending UV</t>
  </si>
  <si>
    <t>CPM (display ads)</t>
  </si>
  <si>
    <t>No. of ads per page</t>
  </si>
  <si>
    <t>% of adults in target market / event</t>
  </si>
  <si>
    <t>Number of adults in target market</t>
  </si>
  <si>
    <t>% of adults who go to an event</t>
  </si>
  <si>
    <t>Number of adults who go to an event</t>
  </si>
  <si>
    <t>Number of events</t>
  </si>
  <si>
    <t>Number of businesses for sponsorship / event</t>
  </si>
  <si>
    <t>Average price / ticket / person</t>
  </si>
  <si>
    <t>Average booth fee / event / business</t>
  </si>
  <si>
    <t>Ticket sales</t>
  </si>
  <si>
    <t>Revenue from businesses</t>
  </si>
  <si>
    <t>LOCAL COUPON SERVICE</t>
  </si>
  <si>
    <t>(coupons from local businesses through online and mobile)</t>
  </si>
  <si>
    <t>- one-time flat fee to businesses to upload a coupon / discount</t>
  </si>
  <si>
    <t>- annual subscription fee to businesses to upload unlimited coupons / discounts</t>
  </si>
  <si>
    <t>% of businesses one-time upload</t>
  </si>
  <si>
    <t>% of businesses annual sub</t>
  </si>
  <si>
    <t>Average fee for one-time upload</t>
  </si>
  <si>
    <t>Average number of uploads / business</t>
  </si>
  <si>
    <t>Average annual sub</t>
  </si>
  <si>
    <t>One-time uploads</t>
  </si>
  <si>
    <t>Annual subs</t>
  </si>
  <si>
    <t>DONATION SYSTEM FOR WATCHDOG JOURNALISM</t>
  </si>
  <si>
    <t>Local coupon service</t>
  </si>
  <si>
    <t>Donation system for watchdog journalism</t>
  </si>
  <si>
    <t>Twitter coupons</t>
  </si>
  <si>
    <t>Listing sales of local businesses</t>
  </si>
  <si>
    <t>Tickets for local events / entertainment</t>
  </si>
  <si>
    <t>Number of recurring e-news svcs</t>
  </si>
  <si>
    <t xml:space="preserve"> (i.e. Moms, Seniors, Ethnic Groups, Sports / Passions)</t>
  </si>
  <si>
    <t>(online place where businesses submit RFPs and other businesses respond to and bid on the RFPs)</t>
  </si>
  <si>
    <t>(service to help local businesses send an email campaign for promotion purposes-- essentially a digital direct marketing campaign)</t>
  </si>
  <si>
    <t>Number of businesses in local market</t>
  </si>
  <si>
    <t>% of UV</t>
  </si>
  <si>
    <t>Number of PV / UV</t>
  </si>
  <si>
    <t>CPM</t>
  </si>
  <si>
    <t>(for example, list of the I/T buyers of the largest 500 companies in the state, list of the security managers of the largest 500 companies in the state, list of the supply managers of the largest 500 companies in the state, etc.)</t>
  </si>
  <si>
    <t>(tool to help local businesses to build their web site)</t>
  </si>
  <si>
    <t>Advertising</t>
  </si>
  <si>
    <t>Other</t>
  </si>
  <si>
    <t>Benefits</t>
  </si>
  <si>
    <t>ASSUMPTIONS</t>
  </si>
  <si>
    <t xml:space="preserve">  -  Online</t>
  </si>
  <si>
    <t>ONLINE AD REVENUE</t>
  </si>
  <si>
    <t>UV- 2007 *</t>
  </si>
  <si>
    <t>Inhabitants **</t>
  </si>
  <si>
    <t>%</t>
  </si>
  <si>
    <t>Page Views</t>
  </si>
  <si>
    <t>Page Views / mth / user</t>
  </si>
  <si>
    <t>NYT</t>
  </si>
  <si>
    <t>LA Times + Orange Cty Reg</t>
  </si>
  <si>
    <t>LOCAL WEBSITES BASED ON TARGETED MARKETS / COMMUNITIES</t>
  </si>
  <si>
    <t>- advertising</t>
  </si>
  <si>
    <t>- commission on services / lead generation</t>
  </si>
  <si>
    <t>TRAFFIC</t>
  </si>
  <si>
    <t>Number of sites</t>
  </si>
  <si>
    <t>% of adults / target market</t>
  </si>
  <si>
    <t>% of target market as UV</t>
  </si>
  <si>
    <t>UV</t>
  </si>
  <si>
    <t>PV</t>
  </si>
  <si>
    <t>Display</t>
  </si>
  <si>
    <t>Local</t>
  </si>
  <si>
    <t>National</t>
  </si>
  <si>
    <t>Contextual</t>
  </si>
  <si>
    <t>Local websites based on targeted markets / communities</t>
  </si>
  <si>
    <t>Total for site launch in yr 1</t>
  </si>
  <si>
    <t>Total for site launch in yr 2</t>
  </si>
  <si>
    <t>Total for site launch in yr 3</t>
  </si>
  <si>
    <t>Revenue base for sales commission</t>
  </si>
  <si>
    <t>Main Website</t>
  </si>
  <si>
    <t>Online Ad Revenues</t>
  </si>
  <si>
    <t>Sales Commissions on Metrowide Ad Network Sales</t>
  </si>
  <si>
    <t>Operating Income Margin</t>
  </si>
  <si>
    <t>Operating Income (EBITDA)</t>
  </si>
  <si>
    <t>Cumulative EBITDA</t>
  </si>
  <si>
    <t>Expense/Revenue Margin</t>
  </si>
  <si>
    <t>Investing Income</t>
  </si>
  <si>
    <t>Capex per Employee</t>
  </si>
  <si>
    <t>Capital Expense</t>
  </si>
  <si>
    <t>Earnings Before Taxes</t>
  </si>
  <si>
    <t>Income Taxes @40%</t>
  </si>
  <si>
    <t>Square footage / person</t>
  </si>
  <si>
    <t>Cost / sq ft</t>
  </si>
  <si>
    <t>Expenses - Main Site</t>
  </si>
  <si>
    <t xml:space="preserve">B-TO-C SERVICES: REVENUE </t>
  </si>
  <si>
    <t>year 1 launch</t>
  </si>
  <si>
    <t>year 2 launch</t>
  </si>
  <si>
    <t>High cost of data collection</t>
  </si>
  <si>
    <t>TOTAL REVENUE</t>
  </si>
  <si>
    <t xml:space="preserve"> (for example, list of all consumer goods companies in the state, list of all doctor offices by county, list of all elementary schools by county, list of all sports clubs by county, list of all nannies / childcare by county, list of all car dealers by county, etc.)</t>
  </si>
  <si>
    <t>http://www.boston.com/business/globe/articles/2007/11/06/online_figures/</t>
  </si>
  <si>
    <t xml:space="preserve">Inventory sold </t>
  </si>
  <si>
    <t>- reduction for inventory sold</t>
  </si>
  <si>
    <t>- free for the HTML teaser with the first 10 addresses</t>
  </si>
  <si>
    <t>Total</t>
  </si>
  <si>
    <t>OPERATING PROFIT (EBITDA)</t>
  </si>
  <si>
    <t>Number of new listing titles</t>
  </si>
  <si>
    <t>Number of recurring listing titles</t>
  </si>
  <si>
    <t>Total listing titles</t>
  </si>
  <si>
    <t>Average number of addresses / listing</t>
  </si>
  <si>
    <t>% of UV to purchase a listing</t>
  </si>
  <si>
    <t>Number of sales (downloads) / listing</t>
  </si>
  <si>
    <t>% of sales- excel file</t>
  </si>
  <si>
    <t>% of sales- PDF file</t>
  </si>
  <si>
    <t>Average price / excel address</t>
  </si>
  <si>
    <t>Average price / PDF address</t>
  </si>
  <si>
    <t>Display ad revenue</t>
  </si>
  <si>
    <t>ONLINE TRAFFIC</t>
  </si>
  <si>
    <t>Total Year 3</t>
  </si>
  <si>
    <t>Total Year 2</t>
  </si>
  <si>
    <t>Mth 5</t>
  </si>
  <si>
    <t>Internetworldstats.com: US average is 74.7%; so in metro cities, the assumption is that it's higher</t>
  </si>
  <si>
    <t>Display Ads (Locally Sold Ads)</t>
  </si>
  <si>
    <t>**Cost per page for a full-time ad</t>
  </si>
  <si>
    <t>TOTAL - Monthly</t>
  </si>
  <si>
    <t>First 6 mths</t>
  </si>
  <si>
    <t>Compensation Annual Increase (start-up staff)</t>
  </si>
  <si>
    <t>Beginning Cash</t>
  </si>
  <si>
    <t>Ending Cash</t>
  </si>
  <si>
    <t>Cash Flow from Operations</t>
  </si>
  <si>
    <t>Net Income</t>
  </si>
  <si>
    <t>Revenues</t>
  </si>
  <si>
    <t>Net Cash Provided from Financing Activities</t>
  </si>
  <si>
    <t>Expenses--Main Website</t>
  </si>
  <si>
    <t>Expenses--BtoC (amortized over last 9 mths)</t>
  </si>
  <si>
    <t>Expenses--BtoB (amortized over last 9 mths)</t>
  </si>
  <si>
    <t>New News Organization</t>
  </si>
  <si>
    <t>Total Revenues</t>
  </si>
  <si>
    <t>Ad Revenue</t>
  </si>
  <si>
    <t>B-to-C</t>
  </si>
  <si>
    <t>B-to-B</t>
  </si>
  <si>
    <t>Ad revenue as % of Total Rev</t>
  </si>
  <si>
    <t>Total Expenses</t>
  </si>
  <si>
    <t>EBITDA</t>
  </si>
  <si>
    <t>Margin</t>
  </si>
  <si>
    <t>Net Earnings</t>
  </si>
  <si>
    <t>(ask citizens for donations for specific topics)</t>
  </si>
  <si>
    <t>- donations from citizens to cover specific topics (spot.us model)</t>
  </si>
  <si>
    <t>Average number of articles</t>
  </si>
  <si>
    <t>Average donation / article</t>
  </si>
  <si>
    <t>Figure from spot.us</t>
  </si>
  <si>
    <t>TWITTER COUPONS</t>
  </si>
  <si>
    <t>Local websites for targeted markets / communities</t>
  </si>
  <si>
    <t>Series of iPhone apps</t>
  </si>
  <si>
    <t>Local shopping comparison app</t>
  </si>
  <si>
    <t>Subtotal</t>
  </si>
  <si>
    <t>B-to-B services</t>
  </si>
  <si>
    <t>Listing sales from local businesses</t>
  </si>
  <si>
    <t>Marketplace</t>
  </si>
  <si>
    <t>Site builder</t>
  </si>
  <si>
    <t>Training in sales &amp; marketing for local businesses</t>
  </si>
  <si>
    <t>Online subscription to weekly e-newsletters</t>
  </si>
  <si>
    <t>Businesses for sale and funding</t>
  </si>
  <si>
    <t>Email campaign service</t>
  </si>
  <si>
    <t>ONLINE AD REVENUES</t>
  </si>
  <si>
    <t>Input field</t>
  </si>
  <si>
    <t>Source</t>
  </si>
  <si>
    <t>Market</t>
  </si>
  <si>
    <t>No. of adults (18+)</t>
  </si>
  <si>
    <t>% of online users</t>
  </si>
  <si>
    <t>% of users visiting site</t>
  </si>
  <si>
    <t>Average of 4 standard market size; reduced because a new brand; see "UV calc" tab</t>
  </si>
  <si>
    <t>See "UV calc" tab - shaved by a little over 1/3 to be conservative</t>
  </si>
  <si>
    <t>NAA; AdPerfect; Centro</t>
  </si>
  <si>
    <t>Local Remnant Ads</t>
  </si>
  <si>
    <t>National Remnant Ads</t>
  </si>
  <si>
    <t>Metrowide ad network</t>
  </si>
  <si>
    <t>% commission for NNO</t>
  </si>
  <si>
    <t>Local remnant ad revenue</t>
  </si>
  <si>
    <t>National remnant ad revenue</t>
  </si>
  <si>
    <t>Metrowide ad network revenue</t>
  </si>
  <si>
    <t>Newspaper</t>
  </si>
  <si>
    <t>(businesses have access to post deal Tweets to NNO Twitter followers)</t>
  </si>
  <si>
    <t>- price per coupon posted</t>
  </si>
  <si>
    <t>% of UV that are twitter followers</t>
  </si>
  <si>
    <t>Number of twitter followers</t>
  </si>
  <si>
    <t>Coupon price (by follower) / coupon</t>
  </si>
  <si>
    <t>% of businesses buying coupon space</t>
  </si>
  <si>
    <t>Number of businesses buying coupon space</t>
  </si>
  <si>
    <t>LISTING SALES OF LOCAL BUSINESSES</t>
  </si>
  <si>
    <t>- one-time flat fee payment to download PDF file</t>
  </si>
  <si>
    <t>- one-time flat fee payment to download excel file</t>
  </si>
  <si>
    <t>- annual subscription to download unlimited files</t>
  </si>
  <si>
    <t>% of sales- annual sub for unlimited files</t>
  </si>
  <si>
    <t>Annual sub price</t>
  </si>
  <si>
    <t>TICKETS FOR LOCAL EVENTS / ENTERTAINMENT</t>
  </si>
  <si>
    <t>- commission on each ticket sold through the site</t>
  </si>
  <si>
    <t>Proxy: Ticketmaster sales in 2008</t>
  </si>
  <si>
    <t>17% growth; but we reduced to 5% to be conservative</t>
  </si>
  <si>
    <t>Revenue / American</t>
  </si>
  <si>
    <t>Number of adults in local market</t>
  </si>
  <si>
    <t>Local Proxy: sales</t>
  </si>
  <si>
    <t>% of sales through NNO</t>
  </si>
  <si>
    <t>Commission %</t>
  </si>
  <si>
    <t>Effective CPM</t>
  </si>
  <si>
    <t xml:space="preserve">Total </t>
  </si>
  <si>
    <t>-</t>
  </si>
  <si>
    <t>SMS ALERTS</t>
  </si>
  <si>
    <t xml:space="preserve"> (mobile revenue opportunities for news alerts via the cellphone)</t>
  </si>
  <si>
    <t>- commission on alerts from carrier</t>
  </si>
  <si>
    <t>Number of UV</t>
  </si>
  <si>
    <t>Number of alerts / UV / mth</t>
  </si>
  <si>
    <t>Carrier charge to customer</t>
  </si>
  <si>
    <t>Typically, cost is $.10-$.15; we reduced because the cost is lower for monthly plan subscribers (could go as low as $.01)</t>
  </si>
  <si>
    <t>Commission / alert to NNO</t>
  </si>
  <si>
    <t>SPECIAL / THEMED ISSUES</t>
  </si>
  <si>
    <t>(monthly print version; free distribution is through kiosks, stores, hotels; example is local school guide, local tourist guide, etc.)</t>
  </si>
  <si>
    <t>- advertising from businesses</t>
  </si>
  <si>
    <t>Number of themes</t>
  </si>
  <si>
    <t>Number of copies / theme</t>
  </si>
  <si>
    <t>Number of pages (52 = 40% ad pages)</t>
  </si>
  <si>
    <t>% ad pages</t>
  </si>
  <si>
    <t>Average cost / full page</t>
  </si>
  <si>
    <t>Special / Themed issues</t>
  </si>
  <si>
    <t>EVENTS</t>
  </si>
  <si>
    <t>(organization of themed events, like real estate, car sales, etc.)</t>
  </si>
  <si>
    <t>- ticket sales to events</t>
  </si>
  <si>
    <t>- sponsorship from local businesses</t>
  </si>
  <si>
    <t>Number of adults in market</t>
  </si>
  <si>
    <t>Earnings</t>
  </si>
  <si>
    <t>Net Margin</t>
  </si>
  <si>
    <t>Number of Conferences</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</si>
</sst>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000%"/>
    <numFmt numFmtId="175" formatCode="&quot;$&quot;#,##0"/>
    <numFmt numFmtId="176" formatCode="#,##0;[Red]#,##0"/>
    <numFmt numFmtId="177" formatCode="[$-409]mmmm\-yy;@"/>
    <numFmt numFmtId="178" formatCode="_(* #,##0_);_(* \(#,##0\);_(* &quot;-&quot;??_);_(@_)"/>
    <numFmt numFmtId="179" formatCode="[$-409]dddd\,\ mmmm\ dd\,\ yyyy"/>
    <numFmt numFmtId="180" formatCode="&quot;$&quot;#,##0;[Red]&quot;$&quot;#,##0"/>
    <numFmt numFmtId="181" formatCode="&quot;$&quot;#,##0.0000;[Red]&quot;$&quot;#,##0.0000"/>
    <numFmt numFmtId="182" formatCode="&quot;$&quot;#,##0.0;[Red]&quot;$&quot;#,##0.0"/>
    <numFmt numFmtId="183" formatCode="&quot;$&quot;#,##0.00;[Red]&quot;$&quot;#,##0.00"/>
    <numFmt numFmtId="184" formatCode="&quot;$&quot;#,##0.000;[Red]&quot;$&quot;#,##0.000"/>
    <numFmt numFmtId="185" formatCode="&quot;$&quot;#,##0.00"/>
    <numFmt numFmtId="186" formatCode="_(&quot;$&quot;* #,##0_);_(&quot;$&quot;* \(#,##0\);_(&quot;$&quot;* &quot;-&quot;??_);_(@_)"/>
    <numFmt numFmtId="187" formatCode="_(&quot;$&quot;* #,##0.0_);_(&quot;$&quot;* \(#,##0.0\);_(&quot;$&quot;* &quot;-&quot;??_);_(@_)"/>
    <numFmt numFmtId="188" formatCode="_(* #,##0.0_);_(* \(#,##0.0\);_(* &quot;-&quot;??_);_(@_)"/>
    <numFmt numFmtId="189" formatCode="0.0"/>
    <numFmt numFmtId="190" formatCode="0.000%"/>
    <numFmt numFmtId="191" formatCode="_(&quot;$&quot;* #,##0.000_);_(&quot;$&quot;* \(#,##0.000\);_(&quot;$&quot;* &quot;-&quot;??_);_(@_)"/>
    <numFmt numFmtId="192" formatCode="_(&quot;$&quot;* #,##0.0000_);_(&quot;$&quot;* \(#,##0.0000\);_(&quot;$&quot;* &quot;-&quot;??_);_(@_)"/>
    <numFmt numFmtId="193" formatCode="_(* #,##0.0_);_(* \(#,##0.0\);_(* &quot;-&quot;?_);_(@_)"/>
    <numFmt numFmtId="194" formatCode="0.000"/>
    <numFmt numFmtId="195" formatCode="_(* #,##0_);_(* \(#,##0\);_(* &quot;-&quot;?_);_(@_)"/>
    <numFmt numFmtId="196" formatCode="0.0000"/>
    <numFmt numFmtId="197" formatCode="_(* #,##0.000_);_(* \(#,##0.000\);_(* &quot;-&quot;??_);_(@_)"/>
    <numFmt numFmtId="198" formatCode="0.0000000"/>
    <numFmt numFmtId="199" formatCode="0.000000"/>
    <numFmt numFmtId="200" formatCode="0.00000"/>
    <numFmt numFmtId="201" formatCode="&quot;$&quot;#,##0.0_);[Red]\(&quot;$&quot;#,##0.0\)"/>
    <numFmt numFmtId="202" formatCode="#,##0.0"/>
    <numFmt numFmtId="203" formatCode="_(* #,##0.0000_);_(* \(#,##0.0000\);_(* &quot;-&quot;??_);_(@_)"/>
    <numFmt numFmtId="204" formatCode="0.000000000000000%"/>
    <numFmt numFmtId="205" formatCode="0.00000000"/>
  </numFmts>
  <fonts count="20">
    <font>
      <sz val="10"/>
      <name val="Arial"/>
      <family val="0"/>
    </font>
    <font>
      <sz val="8"/>
      <name val="Arial"/>
      <family val="2"/>
    </font>
    <font>
      <u val="single"/>
      <sz val="10"/>
      <color indexed="12"/>
      <name val="Arial"/>
      <family val="0"/>
    </font>
    <font>
      <u val="single"/>
      <sz val="10"/>
      <color indexed="36"/>
      <name val="Arial"/>
      <family val="0"/>
    </font>
    <font>
      <sz val="8"/>
      <name val="Verdana"/>
      <family val="0"/>
    </font>
    <font>
      <sz val="9"/>
      <name val="Arial"/>
      <family val="0"/>
    </font>
    <font>
      <b/>
      <sz val="9"/>
      <name val="Arial"/>
      <family val="0"/>
    </font>
    <font>
      <sz val="10"/>
      <name val="Calibri"/>
      <family val="2"/>
    </font>
    <font>
      <b/>
      <sz val="10"/>
      <name val="Calibri"/>
      <family val="2"/>
    </font>
    <font>
      <sz val="8"/>
      <name val="Calibri"/>
      <family val="2"/>
    </font>
    <font>
      <i/>
      <sz val="8"/>
      <name val="Calibri"/>
      <family val="2"/>
    </font>
    <font>
      <i/>
      <sz val="10"/>
      <name val="Calibri"/>
      <family val="2"/>
    </font>
    <font>
      <sz val="10"/>
      <color indexed="10"/>
      <name val="Calibri"/>
      <family val="2"/>
    </font>
    <font>
      <b/>
      <i/>
      <sz val="10"/>
      <name val="Calibri"/>
      <family val="2"/>
    </font>
    <font>
      <b/>
      <sz val="10"/>
      <name val="Arial"/>
      <family val="2"/>
    </font>
    <font>
      <b/>
      <sz val="11"/>
      <color indexed="9"/>
      <name val="Times New Roman"/>
      <family val="1"/>
    </font>
    <font>
      <sz val="11"/>
      <name val="Times New Roman"/>
      <family val="1"/>
    </font>
    <font>
      <b/>
      <sz val="11"/>
      <name val="Times New Roman"/>
      <family val="1"/>
    </font>
    <font>
      <b/>
      <sz val="12"/>
      <color indexed="9"/>
      <name val="Times New Roman"/>
      <family val="1"/>
    </font>
    <font>
      <b/>
      <sz val="8"/>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50"/>
        <bgColor indexed="64"/>
      </patternFill>
    </fill>
    <fill>
      <patternFill patternType="solid">
        <fgColor indexed="63"/>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s>
  <borders count="37">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color indexed="63"/>
      </left>
      <right style="medium"/>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color indexed="63"/>
      </top>
      <bottom style="double"/>
    </border>
    <border>
      <left style="medium"/>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83">
    <xf numFmtId="0" fontId="0" fillId="0" borderId="0" xfId="0" applyAlignment="1">
      <alignment/>
    </xf>
    <xf numFmtId="186" fontId="7" fillId="2" borderId="1" xfId="17" applyNumberFormat="1" applyFont="1" applyFill="1" applyBorder="1" applyAlignment="1">
      <alignment/>
    </xf>
    <xf numFmtId="173" fontId="7" fillId="0" borderId="0" xfId="21" applyNumberFormat="1" applyFont="1" applyBorder="1" applyAlignment="1">
      <alignment/>
    </xf>
    <xf numFmtId="173" fontId="7" fillId="0" borderId="1" xfId="21" applyNumberFormat="1" applyFont="1" applyBorder="1" applyAlignment="1">
      <alignment/>
    </xf>
    <xf numFmtId="186" fontId="7" fillId="2" borderId="0" xfId="17" applyNumberFormat="1" applyFont="1" applyFill="1" applyBorder="1" applyAlignment="1">
      <alignment/>
    </xf>
    <xf numFmtId="3" fontId="10" fillId="0" borderId="2" xfId="0" applyNumberFormat="1" applyFont="1" applyBorder="1" applyAlignment="1">
      <alignment/>
    </xf>
    <xf numFmtId="186" fontId="7" fillId="0" borderId="0" xfId="17" applyNumberFormat="1" applyFont="1" applyAlignment="1">
      <alignment/>
    </xf>
    <xf numFmtId="44" fontId="7" fillId="0" borderId="0" xfId="17" applyFont="1" applyBorder="1" applyAlignment="1">
      <alignment/>
    </xf>
    <xf numFmtId="9" fontId="7" fillId="0" borderId="0" xfId="21" applyFont="1" applyFill="1" applyBorder="1" applyAlignment="1">
      <alignment/>
    </xf>
    <xf numFmtId="9" fontId="7" fillId="0" borderId="1" xfId="21" applyFont="1" applyFill="1" applyBorder="1" applyAlignment="1">
      <alignment/>
    </xf>
    <xf numFmtId="9" fontId="7" fillId="0" borderId="0" xfId="21" applyFont="1" applyAlignment="1">
      <alignment/>
    </xf>
    <xf numFmtId="178" fontId="7" fillId="0" borderId="0" xfId="15" applyNumberFormat="1" applyFont="1" applyBorder="1" applyAlignment="1">
      <alignment/>
    </xf>
    <xf numFmtId="44" fontId="7" fillId="0" borderId="0" xfId="17" applyNumberFormat="1" applyFont="1" applyBorder="1" applyAlignment="1">
      <alignment/>
    </xf>
    <xf numFmtId="3" fontId="7" fillId="0" borderId="1" xfId="0" applyNumberFormat="1" applyFont="1" applyBorder="1" applyAlignment="1">
      <alignment horizontal="right" vertical="top" wrapText="1"/>
    </xf>
    <xf numFmtId="3" fontId="7" fillId="0" borderId="2" xfId="0" applyNumberFormat="1" applyFont="1" applyBorder="1" applyAlignment="1" quotePrefix="1">
      <alignment/>
    </xf>
    <xf numFmtId="3" fontId="7" fillId="0" borderId="1" xfId="0" applyNumberFormat="1" applyFont="1" applyBorder="1" applyAlignment="1">
      <alignment/>
    </xf>
    <xf numFmtId="3" fontId="7" fillId="0" borderId="2" xfId="0" applyNumberFormat="1" applyFont="1" applyBorder="1" applyAlignment="1">
      <alignment/>
    </xf>
    <xf numFmtId="9" fontId="7" fillId="0" borderId="0" xfId="21" applyFont="1" applyBorder="1" applyAlignment="1">
      <alignment/>
    </xf>
    <xf numFmtId="9" fontId="7" fillId="0" borderId="1" xfId="21" applyFont="1" applyBorder="1" applyAlignment="1">
      <alignment/>
    </xf>
    <xf numFmtId="3" fontId="7" fillId="0" borderId="3" xfId="0" applyNumberFormat="1" applyFont="1" applyBorder="1" applyAlignment="1">
      <alignment/>
    </xf>
    <xf numFmtId="3" fontId="7" fillId="0" borderId="4" xfId="0" applyNumberFormat="1" applyFont="1" applyBorder="1" applyAlignment="1">
      <alignment/>
    </xf>
    <xf numFmtId="3" fontId="7" fillId="0" borderId="5" xfId="0" applyNumberFormat="1" applyFont="1" applyBorder="1" applyAlignment="1">
      <alignment/>
    </xf>
    <xf numFmtId="3" fontId="7" fillId="0" borderId="6" xfId="0" applyNumberFormat="1" applyFont="1" applyFill="1" applyBorder="1" applyAlignment="1">
      <alignment horizontal="center"/>
    </xf>
    <xf numFmtId="186" fontId="7" fillId="0" borderId="0" xfId="17" applyNumberFormat="1" applyFont="1" applyBorder="1" applyAlignment="1">
      <alignment/>
    </xf>
    <xf numFmtId="3" fontId="8" fillId="0" borderId="2" xfId="0" applyNumberFormat="1"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Fill="1" applyBorder="1" applyAlignment="1">
      <alignment vertical="top" wrapText="1"/>
    </xf>
    <xf numFmtId="3" fontId="8" fillId="0" borderId="0" xfId="0" applyNumberFormat="1" applyFont="1" applyFill="1" applyBorder="1" applyAlignment="1">
      <alignment horizontal="right" vertical="top" wrapText="1"/>
    </xf>
    <xf numFmtId="3" fontId="7" fillId="0" borderId="0" xfId="0" applyNumberFormat="1" applyFont="1" applyFill="1" applyBorder="1" applyAlignment="1">
      <alignment horizontal="right" vertical="top" wrapText="1"/>
    </xf>
    <xf numFmtId="3" fontId="7" fillId="0" borderId="0" xfId="0" applyNumberFormat="1" applyFont="1" applyAlignment="1">
      <alignment/>
    </xf>
    <xf numFmtId="0" fontId="7" fillId="0" borderId="1" xfId="0" applyFont="1" applyFill="1" applyBorder="1" applyAlignment="1">
      <alignment vertical="top" wrapText="1"/>
    </xf>
    <xf numFmtId="0" fontId="7" fillId="0" borderId="2" xfId="0" applyFont="1" applyBorder="1" applyAlignment="1">
      <alignment/>
    </xf>
    <xf numFmtId="0" fontId="7" fillId="0" borderId="7" xfId="0" applyFont="1" applyFill="1" applyBorder="1" applyAlignment="1">
      <alignment/>
    </xf>
    <xf numFmtId="0" fontId="7" fillId="0" borderId="8" xfId="0" applyFont="1" applyFill="1" applyBorder="1" applyAlignment="1">
      <alignment/>
    </xf>
    <xf numFmtId="3" fontId="7" fillId="0" borderId="8" xfId="0" applyNumberFormat="1" applyFont="1" applyFill="1" applyBorder="1" applyAlignment="1">
      <alignment/>
    </xf>
    <xf numFmtId="0" fontId="8" fillId="0" borderId="0" xfId="0" applyFont="1" applyBorder="1" applyAlignment="1">
      <alignment vertical="top" wrapText="1"/>
    </xf>
    <xf numFmtId="3" fontId="8" fillId="0" borderId="0" xfId="0" applyNumberFormat="1" applyFont="1" applyBorder="1" applyAlignment="1">
      <alignment horizontal="right" vertical="top" wrapText="1"/>
    </xf>
    <xf numFmtId="0" fontId="7" fillId="0" borderId="7" xfId="0" applyFont="1" applyBorder="1" applyAlignment="1">
      <alignment/>
    </xf>
    <xf numFmtId="3" fontId="7" fillId="0" borderId="9" xfId="0" applyNumberFormat="1" applyFont="1" applyBorder="1" applyAlignment="1">
      <alignment/>
    </xf>
    <xf numFmtId="3" fontId="7" fillId="0" borderId="2" xfId="0" applyNumberFormat="1" applyFont="1" applyFill="1" applyBorder="1" applyAlignment="1">
      <alignment horizontal="center"/>
    </xf>
    <xf numFmtId="3" fontId="7" fillId="0" borderId="0" xfId="0" applyNumberFormat="1" applyFont="1" applyFill="1" applyBorder="1" applyAlignment="1">
      <alignment horizontal="center"/>
    </xf>
    <xf numFmtId="3" fontId="7" fillId="0" borderId="2" xfId="0" applyNumberFormat="1" applyFont="1" applyBorder="1" applyAlignment="1">
      <alignment horizontal="center"/>
    </xf>
    <xf numFmtId="3" fontId="7" fillId="0" borderId="0" xfId="0" applyNumberFormat="1" applyFont="1" applyBorder="1" applyAlignment="1">
      <alignment horizontal="center"/>
    </xf>
    <xf numFmtId="0" fontId="7" fillId="0" borderId="0" xfId="0" applyFont="1" applyFill="1" applyBorder="1" applyAlignment="1">
      <alignment vertical="top" wrapText="1"/>
    </xf>
    <xf numFmtId="0" fontId="7" fillId="0" borderId="0" xfId="0" applyFont="1" applyFill="1" applyBorder="1" applyAlignment="1">
      <alignment/>
    </xf>
    <xf numFmtId="0" fontId="7" fillId="0" borderId="0" xfId="0" applyFont="1" applyBorder="1" applyAlignment="1">
      <alignment vertical="top" wrapText="1"/>
    </xf>
    <xf numFmtId="3" fontId="7" fillId="0" borderId="0" xfId="0" applyNumberFormat="1" applyFont="1" applyBorder="1" applyAlignment="1">
      <alignment horizontal="right" vertical="top" wrapText="1"/>
    </xf>
    <xf numFmtId="3" fontId="7" fillId="0" borderId="0" xfId="0" applyNumberFormat="1" applyFont="1" applyBorder="1" applyAlignment="1">
      <alignment/>
    </xf>
    <xf numFmtId="175" fontId="7" fillId="0" borderId="0" xfId="17" applyNumberFormat="1" applyFont="1" applyBorder="1" applyAlignment="1">
      <alignment horizontal="right" vertical="top" wrapText="1"/>
    </xf>
    <xf numFmtId="0" fontId="7" fillId="0" borderId="0" xfId="0" applyFont="1" applyBorder="1" applyAlignment="1">
      <alignment vertical="top"/>
    </xf>
    <xf numFmtId="0" fontId="7" fillId="0" borderId="8" xfId="0" applyFont="1" applyBorder="1" applyAlignment="1">
      <alignment vertical="top" wrapText="1"/>
    </xf>
    <xf numFmtId="0" fontId="7" fillId="0" borderId="8" xfId="0" applyFont="1" applyBorder="1" applyAlignment="1">
      <alignment/>
    </xf>
    <xf numFmtId="3" fontId="7" fillId="0" borderId="10" xfId="0" applyNumberFormat="1" applyFont="1" applyBorder="1" applyAlignment="1">
      <alignment/>
    </xf>
    <xf numFmtId="3" fontId="7" fillId="0" borderId="6" xfId="0" applyNumberFormat="1" applyFont="1" applyBorder="1" applyAlignment="1">
      <alignment/>
    </xf>
    <xf numFmtId="0" fontId="7" fillId="0" borderId="0" xfId="0" applyFont="1" applyBorder="1" applyAlignment="1">
      <alignment horizontal="center"/>
    </xf>
    <xf numFmtId="0" fontId="8" fillId="0" borderId="0" xfId="0" applyFont="1" applyBorder="1" applyAlignment="1">
      <alignment horizontal="center"/>
    </xf>
    <xf numFmtId="0" fontId="8" fillId="0" borderId="2" xfId="0" applyFont="1" applyFill="1" applyBorder="1" applyAlignment="1">
      <alignment/>
    </xf>
    <xf numFmtId="186" fontId="8" fillId="0" borderId="1" xfId="0" applyNumberFormat="1" applyFont="1" applyBorder="1" applyAlignment="1">
      <alignment/>
    </xf>
    <xf numFmtId="173" fontId="7" fillId="0" borderId="0" xfId="0" applyNumberFormat="1" applyFont="1" applyBorder="1" applyAlignment="1">
      <alignment vertical="top"/>
    </xf>
    <xf numFmtId="0" fontId="7" fillId="3" borderId="0" xfId="0" applyFont="1" applyFill="1" applyBorder="1" applyAlignment="1">
      <alignment/>
    </xf>
    <xf numFmtId="3" fontId="7" fillId="0" borderId="0" xfId="0" applyNumberFormat="1" applyFont="1" applyAlignment="1">
      <alignment horizontal="center"/>
    </xf>
    <xf numFmtId="3" fontId="7" fillId="0" borderId="0" xfId="0" applyNumberFormat="1" applyFont="1" applyAlignment="1" quotePrefix="1">
      <alignment/>
    </xf>
    <xf numFmtId="3" fontId="8" fillId="0" borderId="0" xfId="0" applyNumberFormat="1" applyFont="1" applyAlignment="1">
      <alignment/>
    </xf>
    <xf numFmtId="3" fontId="8" fillId="0" borderId="0" xfId="0" applyNumberFormat="1" applyFont="1" applyBorder="1" applyAlignment="1">
      <alignment/>
    </xf>
    <xf numFmtId="3" fontId="7" fillId="4" borderId="11" xfId="0" applyNumberFormat="1" applyFont="1" applyFill="1" applyBorder="1" applyAlignment="1">
      <alignment/>
    </xf>
    <xf numFmtId="3" fontId="7" fillId="4" borderId="0" xfId="0" applyNumberFormat="1" applyFont="1" applyFill="1" applyBorder="1" applyAlignment="1">
      <alignment/>
    </xf>
    <xf numFmtId="3" fontId="7" fillId="4" borderId="1" xfId="0" applyNumberFormat="1" applyFont="1" applyFill="1" applyBorder="1" applyAlignment="1">
      <alignment/>
    </xf>
    <xf numFmtId="9" fontId="7" fillId="4" borderId="0" xfId="21" applyNumberFormat="1" applyFont="1" applyFill="1" applyBorder="1" applyAlignment="1">
      <alignment/>
    </xf>
    <xf numFmtId="9" fontId="7" fillId="4" borderId="1" xfId="21" applyFont="1" applyFill="1" applyBorder="1" applyAlignment="1">
      <alignment/>
    </xf>
    <xf numFmtId="3" fontId="8" fillId="3" borderId="10" xfId="0" applyNumberFormat="1" applyFont="1" applyFill="1" applyBorder="1" applyAlignment="1">
      <alignment/>
    </xf>
    <xf numFmtId="3" fontId="8" fillId="3" borderId="6" xfId="0" applyNumberFormat="1" applyFont="1" applyFill="1" applyBorder="1" applyAlignment="1">
      <alignment/>
    </xf>
    <xf numFmtId="3" fontId="8" fillId="3" borderId="6" xfId="0" applyNumberFormat="1" applyFont="1" applyFill="1" applyBorder="1" applyAlignment="1">
      <alignment horizontal="center"/>
    </xf>
    <xf numFmtId="3" fontId="8" fillId="3" borderId="9" xfId="0" applyNumberFormat="1" applyFont="1" applyFill="1" applyBorder="1" applyAlignment="1">
      <alignment horizontal="center"/>
    </xf>
    <xf numFmtId="44" fontId="7" fillId="4" borderId="0" xfId="17" applyNumberFormat="1" applyFont="1" applyFill="1" applyBorder="1" applyAlignment="1">
      <alignment/>
    </xf>
    <xf numFmtId="44" fontId="7" fillId="4" borderId="1" xfId="17" applyNumberFormat="1" applyFont="1" applyFill="1" applyBorder="1" applyAlignment="1">
      <alignment/>
    </xf>
    <xf numFmtId="9" fontId="7" fillId="4" borderId="0" xfId="21" applyFont="1" applyFill="1" applyBorder="1" applyAlignment="1">
      <alignment/>
    </xf>
    <xf numFmtId="44" fontId="7" fillId="4" borderId="0" xfId="17" applyFont="1" applyFill="1" applyBorder="1" applyAlignment="1">
      <alignment/>
    </xf>
    <xf numFmtId="186" fontId="7" fillId="0" borderId="9" xfId="0" applyNumberFormat="1" applyFont="1" applyBorder="1" applyAlignment="1">
      <alignment/>
    </xf>
    <xf numFmtId="0" fontId="7" fillId="0" borderId="12" xfId="0" applyFont="1" applyBorder="1" applyAlignment="1">
      <alignment/>
    </xf>
    <xf numFmtId="0" fontId="8" fillId="5" borderId="0" xfId="0" applyFont="1" applyFill="1" applyBorder="1" applyAlignment="1">
      <alignment/>
    </xf>
    <xf numFmtId="44" fontId="7" fillId="4" borderId="1" xfId="17" applyFont="1" applyFill="1" applyBorder="1" applyAlignment="1">
      <alignment/>
    </xf>
    <xf numFmtId="10" fontId="7" fillId="4" borderId="0" xfId="21" applyNumberFormat="1" applyFont="1" applyFill="1" applyBorder="1" applyAlignment="1">
      <alignment/>
    </xf>
    <xf numFmtId="10" fontId="7" fillId="4" borderId="1" xfId="21" applyNumberFormat="1" applyFont="1" applyFill="1" applyBorder="1" applyAlignment="1">
      <alignment/>
    </xf>
    <xf numFmtId="186" fontId="7" fillId="4" borderId="0" xfId="17" applyNumberFormat="1" applyFont="1" applyFill="1" applyBorder="1" applyAlignment="1">
      <alignment/>
    </xf>
    <xf numFmtId="186" fontId="7" fillId="4" borderId="1" xfId="17" applyNumberFormat="1" applyFont="1" applyFill="1" applyBorder="1" applyAlignment="1">
      <alignment/>
    </xf>
    <xf numFmtId="178" fontId="7" fillId="4" borderId="0" xfId="15" applyNumberFormat="1" applyFont="1" applyFill="1" applyBorder="1" applyAlignment="1">
      <alignment/>
    </xf>
    <xf numFmtId="178" fontId="7" fillId="4" borderId="1" xfId="15" applyNumberFormat="1" applyFont="1" applyFill="1" applyBorder="1" applyAlignment="1">
      <alignment/>
    </xf>
    <xf numFmtId="3" fontId="8" fillId="3" borderId="0" xfId="0" applyNumberFormat="1" applyFont="1" applyFill="1" applyAlignment="1">
      <alignment/>
    </xf>
    <xf numFmtId="3" fontId="7" fillId="3" borderId="0" xfId="0" applyNumberFormat="1" applyFont="1" applyFill="1" applyAlignment="1">
      <alignment/>
    </xf>
    <xf numFmtId="3" fontId="7" fillId="3" borderId="0" xfId="0" applyNumberFormat="1" applyFont="1" applyFill="1" applyBorder="1" applyAlignment="1">
      <alignment/>
    </xf>
    <xf numFmtId="0" fontId="8" fillId="3" borderId="0" xfId="0" applyFont="1" applyFill="1" applyAlignment="1">
      <alignment wrapText="1"/>
    </xf>
    <xf numFmtId="178" fontId="7" fillId="0" borderId="0" xfId="15" applyNumberFormat="1" applyFont="1" applyAlignment="1">
      <alignment/>
    </xf>
    <xf numFmtId="9" fontId="7" fillId="4" borderId="0" xfId="21" applyFont="1" applyFill="1" applyAlignment="1">
      <alignment/>
    </xf>
    <xf numFmtId="178" fontId="7" fillId="4" borderId="0" xfId="0" applyNumberFormat="1" applyFont="1" applyFill="1" applyAlignment="1">
      <alignment/>
    </xf>
    <xf numFmtId="0" fontId="7" fillId="6" borderId="0" xfId="0" applyFont="1" applyFill="1" applyAlignment="1">
      <alignment/>
    </xf>
    <xf numFmtId="178" fontId="7" fillId="6" borderId="0" xfId="15" applyNumberFormat="1" applyFont="1" applyFill="1" applyAlignment="1">
      <alignment/>
    </xf>
    <xf numFmtId="9" fontId="7" fillId="6" borderId="0" xfId="21" applyFont="1" applyFill="1" applyAlignment="1">
      <alignment/>
    </xf>
    <xf numFmtId="43" fontId="7" fillId="6" borderId="0" xfId="0" applyNumberFormat="1" applyFont="1" applyFill="1" applyAlignment="1">
      <alignment/>
    </xf>
    <xf numFmtId="0" fontId="8"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3" borderId="0" xfId="0" applyFont="1" applyFill="1" applyAlignment="1">
      <alignment/>
    </xf>
    <xf numFmtId="0" fontId="7" fillId="0" borderId="16" xfId="0" applyFont="1" applyBorder="1" applyAlignment="1">
      <alignment/>
    </xf>
    <xf numFmtId="0" fontId="7" fillId="0" borderId="17" xfId="0" applyFont="1" applyBorder="1" applyAlignment="1">
      <alignment horizontal="center"/>
    </xf>
    <xf numFmtId="3" fontId="7" fillId="0" borderId="1" xfId="0" applyNumberFormat="1" applyFont="1" applyBorder="1" applyAlignment="1">
      <alignment horizontal="center"/>
    </xf>
    <xf numFmtId="0" fontId="7" fillId="0" borderId="17" xfId="0" applyFont="1" applyBorder="1" applyAlignment="1">
      <alignment/>
    </xf>
    <xf numFmtId="0" fontId="7" fillId="0" borderId="1" xfId="0" applyFont="1" applyBorder="1" applyAlignment="1">
      <alignment/>
    </xf>
    <xf numFmtId="186" fontId="7" fillId="0" borderId="16" xfId="17" applyNumberFormat="1" applyFont="1" applyBorder="1" applyAlignment="1">
      <alignment/>
    </xf>
    <xf numFmtId="186" fontId="7" fillId="0" borderId="17" xfId="17" applyNumberFormat="1" applyFont="1" applyBorder="1" applyAlignment="1">
      <alignment/>
    </xf>
    <xf numFmtId="186" fontId="7" fillId="0" borderId="2" xfId="17" applyNumberFormat="1" applyFont="1" applyBorder="1" applyAlignment="1">
      <alignment/>
    </xf>
    <xf numFmtId="186" fontId="7" fillId="0" borderId="1" xfId="17" applyNumberFormat="1" applyFont="1" applyBorder="1" applyAlignment="1">
      <alignment/>
    </xf>
    <xf numFmtId="0" fontId="7" fillId="0" borderId="0" xfId="0" applyFont="1" applyAlignment="1">
      <alignment wrapText="1"/>
    </xf>
    <xf numFmtId="186" fontId="7" fillId="0" borderId="16" xfId="17" applyNumberFormat="1" applyFont="1" applyBorder="1" applyAlignment="1">
      <alignment wrapText="1"/>
    </xf>
    <xf numFmtId="186" fontId="7" fillId="0" borderId="18" xfId="17" applyNumberFormat="1" applyFont="1" applyBorder="1" applyAlignment="1">
      <alignment/>
    </xf>
    <xf numFmtId="186" fontId="7" fillId="0" borderId="8" xfId="17" applyNumberFormat="1" applyFont="1" applyBorder="1" applyAlignment="1">
      <alignment/>
    </xf>
    <xf numFmtId="186" fontId="7" fillId="0" borderId="19" xfId="17" applyNumberFormat="1" applyFont="1" applyBorder="1" applyAlignment="1">
      <alignment/>
    </xf>
    <xf numFmtId="186" fontId="7" fillId="0" borderId="7" xfId="17" applyNumberFormat="1" applyFont="1" applyBorder="1" applyAlignment="1">
      <alignment/>
    </xf>
    <xf numFmtId="186" fontId="7" fillId="0" borderId="20" xfId="17" applyNumberFormat="1" applyFont="1" applyBorder="1" applyAlignment="1">
      <alignment/>
    </xf>
    <xf numFmtId="186" fontId="7" fillId="0" borderId="14" xfId="17" applyNumberFormat="1" applyFont="1" applyBorder="1" applyAlignment="1">
      <alignment/>
    </xf>
    <xf numFmtId="186" fontId="7" fillId="0" borderId="15" xfId="17" applyNumberFormat="1" applyFont="1" applyBorder="1" applyAlignment="1">
      <alignment/>
    </xf>
    <xf numFmtId="186" fontId="7" fillId="0" borderId="21" xfId="17" applyNumberFormat="1" applyFont="1" applyBorder="1" applyAlignment="1">
      <alignment/>
    </xf>
    <xf numFmtId="186" fontId="7" fillId="0" borderId="0" xfId="17" applyNumberFormat="1" applyFont="1" applyBorder="1" applyAlignment="1">
      <alignment wrapText="1"/>
    </xf>
    <xf numFmtId="186" fontId="7" fillId="0" borderId="17" xfId="17" applyNumberFormat="1" applyFont="1" applyBorder="1" applyAlignment="1">
      <alignment wrapText="1"/>
    </xf>
    <xf numFmtId="186" fontId="7" fillId="0" borderId="3" xfId="17" applyNumberFormat="1" applyFont="1" applyBorder="1" applyAlignment="1">
      <alignment/>
    </xf>
    <xf numFmtId="186" fontId="7" fillId="0" borderId="4" xfId="17" applyNumberFormat="1" applyFont="1" applyBorder="1" applyAlignment="1">
      <alignment/>
    </xf>
    <xf numFmtId="186" fontId="7" fillId="0" borderId="5" xfId="17" applyNumberFormat="1" applyFont="1" applyBorder="1" applyAlignment="1">
      <alignment/>
    </xf>
    <xf numFmtId="0" fontId="7" fillId="4" borderId="11" xfId="0" applyFont="1" applyFill="1" applyBorder="1" applyAlignment="1">
      <alignment/>
    </xf>
    <xf numFmtId="3" fontId="7" fillId="0" borderId="9" xfId="0" applyNumberFormat="1" applyFont="1" applyFill="1" applyBorder="1" applyAlignment="1">
      <alignment horizontal="center"/>
    </xf>
    <xf numFmtId="0" fontId="7" fillId="0" borderId="1" xfId="0" applyFont="1" applyBorder="1" applyAlignment="1">
      <alignment horizontal="center"/>
    </xf>
    <xf numFmtId="3" fontId="7" fillId="0" borderId="2" xfId="0" applyNumberFormat="1" applyFont="1" applyFill="1" applyBorder="1" applyAlignment="1">
      <alignment/>
    </xf>
    <xf numFmtId="186" fontId="7" fillId="0" borderId="0" xfId="17" applyNumberFormat="1" applyFont="1" applyBorder="1" applyAlignment="1">
      <alignment horizontal="center"/>
    </xf>
    <xf numFmtId="186" fontId="7" fillId="0" borderId="1" xfId="17" applyNumberFormat="1" applyFont="1" applyBorder="1" applyAlignment="1">
      <alignment horizontal="center"/>
    </xf>
    <xf numFmtId="0" fontId="7" fillId="0" borderId="0" xfId="0" applyFont="1" applyBorder="1" applyAlignment="1">
      <alignment horizontal="left"/>
    </xf>
    <xf numFmtId="9" fontId="7" fillId="0" borderId="0" xfId="0" applyNumberFormat="1" applyFont="1" applyBorder="1" applyAlignment="1">
      <alignment/>
    </xf>
    <xf numFmtId="186" fontId="7" fillId="0" borderId="0" xfId="0" applyNumberFormat="1" applyFont="1" applyAlignment="1">
      <alignment/>
    </xf>
    <xf numFmtId="0" fontId="7" fillId="0" borderId="4" xfId="0" applyFont="1" applyBorder="1" applyAlignment="1">
      <alignment horizontal="center"/>
    </xf>
    <xf numFmtId="0" fontId="7" fillId="0" borderId="4" xfId="0" applyFont="1" applyBorder="1" applyAlignment="1">
      <alignment/>
    </xf>
    <xf numFmtId="186" fontId="7" fillId="0" borderId="4" xfId="17" applyNumberFormat="1" applyFont="1" applyBorder="1" applyAlignment="1">
      <alignment horizontal="center"/>
    </xf>
    <xf numFmtId="186" fontId="7" fillId="0" borderId="5" xfId="17" applyNumberFormat="1" applyFont="1" applyBorder="1" applyAlignment="1">
      <alignment horizontal="center"/>
    </xf>
    <xf numFmtId="186" fontId="7" fillId="0" borderId="0" xfId="17" applyNumberFormat="1" applyFont="1" applyAlignment="1">
      <alignment horizontal="center"/>
    </xf>
    <xf numFmtId="0" fontId="7" fillId="5" borderId="0" xfId="0" applyFont="1" applyFill="1" applyAlignment="1">
      <alignment/>
    </xf>
    <xf numFmtId="186" fontId="7" fillId="5" borderId="0" xfId="17" applyNumberFormat="1" applyFont="1" applyFill="1" applyAlignment="1">
      <alignment/>
    </xf>
    <xf numFmtId="186" fontId="7" fillId="5" borderId="0" xfId="17" applyNumberFormat="1" applyFont="1" applyFill="1" applyBorder="1" applyAlignment="1">
      <alignment/>
    </xf>
    <xf numFmtId="186" fontId="7" fillId="5" borderId="8" xfId="17" applyNumberFormat="1" applyFont="1" applyFill="1" applyBorder="1" applyAlignment="1">
      <alignment/>
    </xf>
    <xf numFmtId="0" fontId="7" fillId="3" borderId="0" xfId="0" applyFont="1" applyFill="1" applyBorder="1" applyAlignment="1">
      <alignment vertical="top"/>
    </xf>
    <xf numFmtId="186" fontId="7" fillId="4" borderId="0" xfId="17" applyNumberFormat="1" applyFont="1" applyFill="1" applyBorder="1" applyAlignment="1">
      <alignment horizontal="center"/>
    </xf>
    <xf numFmtId="178" fontId="7" fillId="4" borderId="0" xfId="15" applyNumberFormat="1" applyFont="1" applyFill="1" applyBorder="1" applyAlignment="1">
      <alignment horizontal="center"/>
    </xf>
    <xf numFmtId="186" fontId="7" fillId="4" borderId="1" xfId="17" applyNumberFormat="1" applyFont="1" applyFill="1" applyBorder="1" applyAlignment="1">
      <alignment horizontal="center"/>
    </xf>
    <xf numFmtId="178" fontId="7" fillId="4" borderId="1" xfId="15" applyNumberFormat="1" applyFont="1" applyFill="1" applyBorder="1" applyAlignment="1">
      <alignment horizontal="center"/>
    </xf>
    <xf numFmtId="9" fontId="7" fillId="4" borderId="0" xfId="21" applyFont="1" applyFill="1" applyBorder="1" applyAlignment="1">
      <alignment horizontal="center"/>
    </xf>
    <xf numFmtId="9" fontId="7" fillId="4" borderId="1" xfId="21" applyFont="1" applyFill="1" applyBorder="1" applyAlignment="1">
      <alignment horizontal="center"/>
    </xf>
    <xf numFmtId="186" fontId="7" fillId="0" borderId="0" xfId="0" applyNumberFormat="1" applyFont="1" applyBorder="1" applyAlignment="1">
      <alignment/>
    </xf>
    <xf numFmtId="3" fontId="7" fillId="0" borderId="2" xfId="0" applyNumberFormat="1" applyFont="1" applyFill="1" applyBorder="1" applyAlignment="1">
      <alignment horizontal="right" vertical="top" wrapText="1"/>
    </xf>
    <xf numFmtId="3" fontId="7" fillId="0" borderId="1" xfId="0" applyNumberFormat="1" applyFont="1" applyFill="1" applyBorder="1" applyAlignment="1">
      <alignment horizontal="right" vertical="top" wrapText="1"/>
    </xf>
    <xf numFmtId="0" fontId="11" fillId="0" borderId="0" xfId="0" applyFont="1" applyBorder="1" applyAlignment="1">
      <alignment/>
    </xf>
    <xf numFmtId="178" fontId="7" fillId="0" borderId="0" xfId="0" applyNumberFormat="1" applyFont="1" applyBorder="1" applyAlignment="1">
      <alignment/>
    </xf>
    <xf numFmtId="186" fontId="7" fillId="0" borderId="2" xfId="0" applyNumberFormat="1" applyFont="1" applyBorder="1" applyAlignment="1">
      <alignment/>
    </xf>
    <xf numFmtId="0" fontId="7" fillId="0" borderId="3" xfId="0" applyFont="1" applyBorder="1" applyAlignment="1">
      <alignment/>
    </xf>
    <xf numFmtId="0" fontId="11" fillId="0" borderId="4" xfId="0" applyFont="1" applyBorder="1" applyAlignment="1">
      <alignment/>
    </xf>
    <xf numFmtId="0" fontId="7" fillId="0" borderId="5" xfId="0" applyFont="1" applyBorder="1" applyAlignment="1">
      <alignment/>
    </xf>
    <xf numFmtId="0" fontId="8" fillId="0" borderId="2" xfId="0" applyFont="1" applyBorder="1" applyAlignment="1">
      <alignment/>
    </xf>
    <xf numFmtId="0" fontId="12" fillId="0" borderId="0" xfId="0" applyFont="1" applyAlignment="1">
      <alignment/>
    </xf>
    <xf numFmtId="0" fontId="7" fillId="0" borderId="0" xfId="0" applyFont="1" applyAlignment="1" quotePrefix="1">
      <alignment/>
    </xf>
    <xf numFmtId="3" fontId="7" fillId="0" borderId="0" xfId="0" applyNumberFormat="1" applyFont="1" applyFill="1" applyBorder="1" applyAlignment="1">
      <alignment/>
    </xf>
    <xf numFmtId="178" fontId="7" fillId="0" borderId="1" xfId="15" applyNumberFormat="1" applyFont="1" applyBorder="1" applyAlignment="1">
      <alignment/>
    </xf>
    <xf numFmtId="0" fontId="7" fillId="0" borderId="0" xfId="0" applyFont="1" applyFill="1" applyAlignment="1">
      <alignment/>
    </xf>
    <xf numFmtId="44" fontId="7" fillId="0" borderId="1" xfId="17" applyNumberFormat="1" applyFont="1" applyBorder="1" applyAlignment="1">
      <alignment/>
    </xf>
    <xf numFmtId="0" fontId="7" fillId="0" borderId="0" xfId="0" applyFont="1" applyAlignment="1">
      <alignment horizontal="center"/>
    </xf>
    <xf numFmtId="43" fontId="7" fillId="0" borderId="0" xfId="0" applyNumberFormat="1" applyFont="1" applyAlignment="1">
      <alignment/>
    </xf>
    <xf numFmtId="0" fontId="13" fillId="0" borderId="0" xfId="0" applyFont="1" applyAlignment="1">
      <alignment/>
    </xf>
    <xf numFmtId="178" fontId="7" fillId="0" borderId="0" xfId="0" applyNumberFormat="1" applyFont="1" applyAlignment="1">
      <alignment/>
    </xf>
    <xf numFmtId="178" fontId="7" fillId="0" borderId="0" xfId="15" applyNumberFormat="1" applyFont="1" applyFill="1" applyBorder="1" applyAlignment="1">
      <alignment/>
    </xf>
    <xf numFmtId="178" fontId="7" fillId="0" borderId="1" xfId="15" applyNumberFormat="1" applyFont="1" applyFill="1" applyBorder="1" applyAlignment="1">
      <alignment/>
    </xf>
    <xf numFmtId="44" fontId="7" fillId="0" borderId="0" xfId="0" applyNumberFormat="1" applyFont="1" applyAlignment="1">
      <alignment/>
    </xf>
    <xf numFmtId="173" fontId="7" fillId="0" borderId="0" xfId="21" applyNumberFormat="1" applyFont="1" applyFill="1" applyBorder="1" applyAlignment="1">
      <alignment/>
    </xf>
    <xf numFmtId="44" fontId="7" fillId="0" borderId="0" xfId="17" applyNumberFormat="1" applyFont="1" applyFill="1" applyBorder="1" applyAlignment="1">
      <alignment/>
    </xf>
    <xf numFmtId="186" fontId="7" fillId="0" borderId="0" xfId="17" applyNumberFormat="1" applyFont="1" applyBorder="1" applyAlignment="1" quotePrefix="1">
      <alignment/>
    </xf>
    <xf numFmtId="9" fontId="7" fillId="0" borderId="2" xfId="21" applyFont="1" applyBorder="1" applyAlignment="1">
      <alignment/>
    </xf>
    <xf numFmtId="0" fontId="7" fillId="0" borderId="0" xfId="0" applyFont="1" applyAlignment="1">
      <alignment horizontal="left"/>
    </xf>
    <xf numFmtId="44" fontId="7" fillId="0" borderId="1" xfId="17" applyNumberFormat="1" applyFont="1" applyFill="1" applyBorder="1" applyAlignment="1">
      <alignment/>
    </xf>
    <xf numFmtId="0" fontId="7" fillId="0" borderId="0" xfId="0" applyFont="1" applyAlignment="1">
      <alignment horizontal="right"/>
    </xf>
    <xf numFmtId="186" fontId="7" fillId="0" borderId="0" xfId="17" applyNumberFormat="1" applyFont="1" applyFill="1" applyBorder="1" applyAlignment="1">
      <alignment/>
    </xf>
    <xf numFmtId="186" fontId="7" fillId="0" borderId="1" xfId="17" applyNumberFormat="1" applyFont="1" applyFill="1" applyBorder="1" applyAlignment="1">
      <alignment/>
    </xf>
    <xf numFmtId="9" fontId="7" fillId="0" borderId="0" xfId="0" applyNumberFormat="1" applyFont="1" applyAlignment="1">
      <alignment/>
    </xf>
    <xf numFmtId="3" fontId="7" fillId="0" borderId="1" xfId="0" applyNumberFormat="1" applyFont="1" applyFill="1" applyBorder="1" applyAlignment="1">
      <alignment/>
    </xf>
    <xf numFmtId="1" fontId="7" fillId="0" borderId="0" xfId="0" applyNumberFormat="1" applyFont="1" applyAlignment="1">
      <alignment/>
    </xf>
    <xf numFmtId="193" fontId="7" fillId="0" borderId="0" xfId="0" applyNumberFormat="1" applyFont="1" applyAlignment="1">
      <alignment/>
    </xf>
    <xf numFmtId="3" fontId="7" fillId="0" borderId="0" xfId="0" applyNumberFormat="1" applyFont="1" applyBorder="1" applyAlignment="1">
      <alignment horizontal="right"/>
    </xf>
    <xf numFmtId="178" fontId="7" fillId="0" borderId="0" xfId="15" applyNumberFormat="1" applyFont="1" applyFill="1" applyBorder="1" applyAlignment="1">
      <alignment horizontal="right"/>
    </xf>
    <xf numFmtId="10" fontId="7" fillId="0" borderId="0" xfId="21" applyNumberFormat="1" applyFont="1" applyFill="1" applyBorder="1" applyAlignment="1">
      <alignment/>
    </xf>
    <xf numFmtId="173" fontId="7" fillId="0" borderId="1" xfId="21" applyNumberFormat="1" applyFont="1" applyFill="1" applyBorder="1" applyAlignment="1">
      <alignment/>
    </xf>
    <xf numFmtId="3" fontId="7" fillId="0" borderId="0" xfId="0" applyNumberFormat="1" applyFont="1" applyBorder="1" applyAlignment="1" quotePrefix="1">
      <alignment/>
    </xf>
    <xf numFmtId="186" fontId="7" fillId="0" borderId="1" xfId="0" applyNumberFormat="1" applyFont="1" applyBorder="1" applyAlignment="1">
      <alignment horizontal="center"/>
    </xf>
    <xf numFmtId="186" fontId="7" fillId="0" borderId="0" xfId="0" applyNumberFormat="1" applyFont="1" applyBorder="1" applyAlignment="1">
      <alignment horizontal="center"/>
    </xf>
    <xf numFmtId="0" fontId="12" fillId="0" borderId="3" xfId="0" applyFont="1" applyBorder="1" applyAlignment="1">
      <alignment/>
    </xf>
    <xf numFmtId="0" fontId="8" fillId="0" borderId="0" xfId="0" applyFont="1" applyFill="1" applyAlignment="1">
      <alignment/>
    </xf>
    <xf numFmtId="44" fontId="7" fillId="0" borderId="0" xfId="17" applyFont="1" applyAlignment="1">
      <alignment/>
    </xf>
    <xf numFmtId="9" fontId="7" fillId="0" borderId="0" xfId="21" applyFont="1" applyBorder="1" applyAlignment="1" quotePrefix="1">
      <alignment/>
    </xf>
    <xf numFmtId="9" fontId="7" fillId="0" borderId="0" xfId="21" applyFont="1" applyFill="1" applyBorder="1" applyAlignment="1" quotePrefix="1">
      <alignment/>
    </xf>
    <xf numFmtId="178" fontId="7" fillId="0" borderId="0" xfId="0" applyNumberFormat="1" applyFont="1" applyBorder="1" applyAlignment="1">
      <alignment horizontal="center"/>
    </xf>
    <xf numFmtId="178" fontId="7" fillId="0" borderId="1" xfId="0" applyNumberFormat="1" applyFont="1" applyBorder="1" applyAlignment="1">
      <alignment horizontal="center"/>
    </xf>
    <xf numFmtId="178" fontId="7" fillId="0" borderId="1" xfId="0" applyNumberFormat="1" applyFont="1" applyBorder="1" applyAlignment="1">
      <alignment/>
    </xf>
    <xf numFmtId="0" fontId="7" fillId="0" borderId="0" xfId="0" applyFont="1" applyAlignment="1" quotePrefix="1">
      <alignment/>
    </xf>
    <xf numFmtId="0" fontId="7" fillId="0" borderId="0" xfId="0" applyFont="1" applyFill="1" applyBorder="1" applyAlignment="1">
      <alignment horizontal="center"/>
    </xf>
    <xf numFmtId="9" fontId="7" fillId="0" borderId="4" xfId="21" applyFont="1" applyBorder="1" applyAlignment="1">
      <alignment/>
    </xf>
    <xf numFmtId="0" fontId="7" fillId="0" borderId="0" xfId="0" applyFont="1" applyFill="1" applyBorder="1" applyAlignment="1">
      <alignment horizontal="right"/>
    </xf>
    <xf numFmtId="0" fontId="7" fillId="0" borderId="10" xfId="0" applyFont="1" applyBorder="1" applyAlignment="1">
      <alignment/>
    </xf>
    <xf numFmtId="0" fontId="7" fillId="0" borderId="6" xfId="0" applyFont="1" applyBorder="1" applyAlignment="1">
      <alignment/>
    </xf>
    <xf numFmtId="0" fontId="7" fillId="0" borderId="2" xfId="0" applyFont="1" applyBorder="1" applyAlignment="1">
      <alignment horizontal="center"/>
    </xf>
    <xf numFmtId="0" fontId="7" fillId="0" borderId="2" xfId="0" applyFont="1" applyFill="1" applyBorder="1" applyAlignment="1">
      <alignment/>
    </xf>
    <xf numFmtId="186" fontId="7" fillId="0" borderId="2" xfId="17" applyNumberFormat="1" applyFont="1" applyFill="1" applyBorder="1" applyAlignment="1">
      <alignment/>
    </xf>
    <xf numFmtId="186" fontId="7" fillId="0" borderId="7" xfId="17" applyNumberFormat="1" applyFont="1" applyFill="1" applyBorder="1" applyAlignment="1">
      <alignment/>
    </xf>
    <xf numFmtId="186" fontId="7" fillId="0" borderId="7" xfId="0" applyNumberFormat="1" applyFont="1" applyBorder="1" applyAlignment="1">
      <alignment/>
    </xf>
    <xf numFmtId="186" fontId="7" fillId="0" borderId="8" xfId="0" applyNumberFormat="1" applyFont="1" applyBorder="1" applyAlignment="1">
      <alignment/>
    </xf>
    <xf numFmtId="0" fontId="7" fillId="0" borderId="20" xfId="0" applyFont="1" applyFill="1" applyBorder="1" applyAlignment="1">
      <alignment/>
    </xf>
    <xf numFmtId="0" fontId="7" fillId="0" borderId="22" xfId="0" applyFont="1" applyBorder="1" applyAlignment="1">
      <alignment/>
    </xf>
    <xf numFmtId="0" fontId="7" fillId="0" borderId="23" xfId="0" applyFont="1" applyBorder="1" applyAlignment="1">
      <alignment/>
    </xf>
    <xf numFmtId="186" fontId="7" fillId="0" borderId="23" xfId="17" applyNumberFormat="1" applyFont="1" applyBorder="1" applyAlignment="1">
      <alignment/>
    </xf>
    <xf numFmtId="186" fontId="7" fillId="0" borderId="22" xfId="17" applyNumberFormat="1" applyFont="1" applyBorder="1" applyAlignment="1">
      <alignment/>
    </xf>
    <xf numFmtId="0" fontId="8" fillId="0" borderId="24" xfId="0" applyFont="1" applyBorder="1" applyAlignment="1">
      <alignment/>
    </xf>
    <xf numFmtId="0" fontId="8" fillId="0" borderId="25" xfId="0" applyFont="1" applyBorder="1" applyAlignment="1">
      <alignment/>
    </xf>
    <xf numFmtId="0" fontId="8" fillId="0" borderId="0" xfId="0" applyFont="1" applyBorder="1" applyAlignment="1">
      <alignment/>
    </xf>
    <xf numFmtId="186" fontId="8" fillId="0" borderId="0" xfId="17" applyNumberFormat="1" applyFont="1" applyBorder="1" applyAlignment="1">
      <alignment/>
    </xf>
    <xf numFmtId="186" fontId="8" fillId="0" borderId="0" xfId="17" applyNumberFormat="1" applyFont="1" applyAlignment="1">
      <alignment/>
    </xf>
    <xf numFmtId="186" fontId="8" fillId="0" borderId="2" xfId="0" applyNumberFormat="1" applyFont="1" applyBorder="1" applyAlignment="1">
      <alignment/>
    </xf>
    <xf numFmtId="186" fontId="8" fillId="0" borderId="0" xfId="0" applyNumberFormat="1" applyFont="1" applyBorder="1" applyAlignment="1">
      <alignment/>
    </xf>
    <xf numFmtId="0" fontId="11" fillId="0" borderId="0" xfId="0" applyFont="1" applyAlignment="1">
      <alignment/>
    </xf>
    <xf numFmtId="9" fontId="7" fillId="0" borderId="5" xfId="21" applyFont="1" applyBorder="1" applyAlignment="1">
      <alignment/>
    </xf>
    <xf numFmtId="0" fontId="7" fillId="3" borderId="10" xfId="0" applyFont="1" applyFill="1" applyBorder="1" applyAlignment="1">
      <alignment/>
    </xf>
    <xf numFmtId="0" fontId="7" fillId="3" borderId="6" xfId="0" applyFont="1" applyFill="1" applyBorder="1" applyAlignment="1">
      <alignment/>
    </xf>
    <xf numFmtId="0" fontId="7" fillId="3" borderId="9" xfId="0" applyFont="1" applyFill="1" applyBorder="1" applyAlignment="1">
      <alignment/>
    </xf>
    <xf numFmtId="9" fontId="7" fillId="4" borderId="11" xfId="21" applyFont="1" applyFill="1" applyBorder="1" applyAlignment="1">
      <alignment/>
    </xf>
    <xf numFmtId="0" fontId="7" fillId="4" borderId="2" xfId="0" applyFont="1" applyFill="1" applyBorder="1" applyAlignment="1">
      <alignment/>
    </xf>
    <xf numFmtId="0" fontId="7" fillId="4" borderId="0" xfId="0" applyFont="1" applyFill="1" applyBorder="1" applyAlignment="1">
      <alignment/>
    </xf>
    <xf numFmtId="0" fontId="7" fillId="4" borderId="7" xfId="0" applyFont="1" applyFill="1" applyBorder="1" applyAlignment="1">
      <alignment/>
    </xf>
    <xf numFmtId="0" fontId="7" fillId="4" borderId="8" xfId="0" applyFont="1" applyFill="1" applyBorder="1" applyAlignment="1">
      <alignment/>
    </xf>
    <xf numFmtId="186" fontId="7" fillId="4" borderId="2" xfId="17" applyNumberFormat="1" applyFont="1" applyFill="1" applyBorder="1" applyAlignment="1">
      <alignment/>
    </xf>
    <xf numFmtId="186" fontId="7" fillId="4" borderId="7" xfId="17" applyNumberFormat="1" applyFont="1" applyFill="1" applyBorder="1" applyAlignment="1">
      <alignment/>
    </xf>
    <xf numFmtId="0" fontId="7" fillId="0" borderId="26" xfId="0" applyFont="1" applyBorder="1" applyAlignment="1">
      <alignment/>
    </xf>
    <xf numFmtId="0" fontId="7" fillId="0" borderId="27" xfId="0" applyFont="1" applyBorder="1" applyAlignment="1">
      <alignment/>
    </xf>
    <xf numFmtId="186" fontId="7" fillId="0" borderId="27" xfId="17" applyNumberFormat="1" applyFont="1" applyBorder="1" applyAlignment="1">
      <alignment/>
    </xf>
    <xf numFmtId="186" fontId="7" fillId="0" borderId="26" xfId="17" applyNumberFormat="1" applyFont="1" applyBorder="1" applyAlignment="1">
      <alignment/>
    </xf>
    <xf numFmtId="186" fontId="7" fillId="0" borderId="27" xfId="0" applyNumberFormat="1" applyFont="1" applyBorder="1" applyAlignment="1">
      <alignment/>
    </xf>
    <xf numFmtId="186" fontId="7" fillId="0" borderId="26" xfId="0" applyNumberFormat="1" applyFont="1" applyBorder="1" applyAlignment="1">
      <alignment/>
    </xf>
    <xf numFmtId="0" fontId="7" fillId="5" borderId="0" xfId="0" applyFont="1" applyFill="1" applyBorder="1" applyAlignment="1">
      <alignment/>
    </xf>
    <xf numFmtId="0" fontId="7" fillId="5" borderId="26" xfId="0" applyFont="1" applyFill="1" applyBorder="1" applyAlignment="1">
      <alignment/>
    </xf>
    <xf numFmtId="0" fontId="7" fillId="5" borderId="8" xfId="0" applyFont="1" applyFill="1" applyBorder="1" applyAlignment="1">
      <alignment/>
    </xf>
    <xf numFmtId="0" fontId="7" fillId="5" borderId="22" xfId="0" applyFont="1" applyFill="1" applyBorder="1" applyAlignment="1">
      <alignment/>
    </xf>
    <xf numFmtId="0" fontId="8" fillId="3" borderId="28" xfId="0" applyFont="1" applyFill="1" applyBorder="1" applyAlignment="1">
      <alignment/>
    </xf>
    <xf numFmtId="9" fontId="7" fillId="3" borderId="29" xfId="21" applyFont="1" applyFill="1" applyBorder="1" applyAlignment="1">
      <alignment/>
    </xf>
    <xf numFmtId="0" fontId="7" fillId="3" borderId="29" xfId="0" applyFont="1" applyFill="1" applyBorder="1" applyAlignment="1">
      <alignment/>
    </xf>
    <xf numFmtId="0" fontId="7" fillId="3" borderId="30" xfId="0" applyFont="1" applyFill="1" applyBorder="1" applyAlignment="1">
      <alignment/>
    </xf>
    <xf numFmtId="0" fontId="7" fillId="5" borderId="6" xfId="0" applyFont="1" applyFill="1" applyBorder="1" applyAlignment="1">
      <alignment/>
    </xf>
    <xf numFmtId="0" fontId="7" fillId="0" borderId="6" xfId="0" applyFont="1" applyBorder="1" applyAlignment="1">
      <alignment horizontal="left"/>
    </xf>
    <xf numFmtId="0" fontId="7" fillId="5" borderId="4" xfId="0" applyFont="1" applyFill="1" applyBorder="1" applyAlignment="1">
      <alignment/>
    </xf>
    <xf numFmtId="186" fontId="7" fillId="0" borderId="3" xfId="0" applyNumberFormat="1" applyFont="1" applyBorder="1" applyAlignment="1">
      <alignment/>
    </xf>
    <xf numFmtId="186" fontId="7" fillId="0" borderId="4" xfId="0" applyNumberFormat="1" applyFont="1" applyBorder="1" applyAlignment="1">
      <alignment/>
    </xf>
    <xf numFmtId="186" fontId="7" fillId="0" borderId="10" xfId="17" applyNumberFormat="1" applyFont="1" applyBorder="1" applyAlignment="1">
      <alignment/>
    </xf>
    <xf numFmtId="186" fontId="7" fillId="0" borderId="6" xfId="17" applyNumberFormat="1" applyFont="1" applyBorder="1" applyAlignment="1">
      <alignment/>
    </xf>
    <xf numFmtId="186" fontId="7" fillId="0" borderId="10" xfId="0" applyNumberFormat="1" applyFont="1" applyBorder="1" applyAlignment="1">
      <alignment/>
    </xf>
    <xf numFmtId="186" fontId="7" fillId="0" borderId="6" xfId="0" applyNumberFormat="1" applyFont="1" applyBorder="1" applyAlignment="1">
      <alignment/>
    </xf>
    <xf numFmtId="0" fontId="8" fillId="4" borderId="10" xfId="0" applyFont="1" applyFill="1" applyBorder="1" applyAlignment="1">
      <alignment/>
    </xf>
    <xf numFmtId="0" fontId="7" fillId="0" borderId="31" xfId="0" applyFont="1" applyFill="1" applyBorder="1" applyAlignment="1">
      <alignment/>
    </xf>
    <xf numFmtId="0" fontId="7" fillId="0" borderId="3" xfId="0" applyFont="1" applyFill="1" applyBorder="1" applyAlignment="1">
      <alignment/>
    </xf>
    <xf numFmtId="0" fontId="7" fillId="5" borderId="9" xfId="0" applyFont="1" applyFill="1" applyBorder="1" applyAlignment="1">
      <alignment/>
    </xf>
    <xf numFmtId="0" fontId="7" fillId="5" borderId="12" xfId="0" applyFont="1" applyFill="1" applyBorder="1" applyAlignment="1">
      <alignment/>
    </xf>
    <xf numFmtId="0" fontId="7" fillId="5" borderId="1" xfId="0" applyFont="1" applyFill="1" applyBorder="1" applyAlignment="1">
      <alignment/>
    </xf>
    <xf numFmtId="0" fontId="7" fillId="5" borderId="5" xfId="0" applyFont="1" applyFill="1" applyBorder="1" applyAlignment="1">
      <alignment/>
    </xf>
    <xf numFmtId="0" fontId="8" fillId="3" borderId="10" xfId="0" applyFont="1" applyFill="1" applyBorder="1" applyAlignment="1">
      <alignment/>
    </xf>
    <xf numFmtId="0" fontId="8" fillId="6" borderId="2" xfId="0" applyFont="1" applyFill="1" applyBorder="1" applyAlignment="1">
      <alignment/>
    </xf>
    <xf numFmtId="186" fontId="7" fillId="0" borderId="32" xfId="17" applyNumberFormat="1" applyFont="1" applyBorder="1" applyAlignment="1">
      <alignment/>
    </xf>
    <xf numFmtId="0" fontId="7" fillId="0" borderId="3" xfId="0" applyFont="1" applyBorder="1" applyAlignment="1">
      <alignment horizontal="left"/>
    </xf>
    <xf numFmtId="0" fontId="7" fillId="6" borderId="0" xfId="0" applyFont="1" applyFill="1" applyBorder="1" applyAlignment="1">
      <alignment horizontal="center"/>
    </xf>
    <xf numFmtId="0" fontId="8" fillId="6" borderId="0" xfId="0" applyFont="1" applyFill="1" applyBorder="1" applyAlignment="1">
      <alignment horizontal="center"/>
    </xf>
    <xf numFmtId="186" fontId="7" fillId="6" borderId="0" xfId="0" applyNumberFormat="1" applyFont="1" applyFill="1" applyBorder="1" applyAlignment="1">
      <alignment horizontal="center"/>
    </xf>
    <xf numFmtId="3" fontId="7" fillId="0" borderId="20" xfId="0" applyNumberFormat="1" applyFont="1" applyFill="1" applyBorder="1" applyAlignment="1">
      <alignment/>
    </xf>
    <xf numFmtId="175" fontId="7" fillId="0" borderId="1" xfId="17" applyNumberFormat="1" applyFont="1" applyBorder="1" applyAlignment="1">
      <alignment horizontal="right" vertical="top" wrapText="1"/>
    </xf>
    <xf numFmtId="3" fontId="7" fillId="0" borderId="3" xfId="0" applyNumberFormat="1" applyFont="1" applyFill="1" applyBorder="1" applyAlignment="1">
      <alignment horizontal="center"/>
    </xf>
    <xf numFmtId="3" fontId="7" fillId="0" borderId="4" xfId="0" applyNumberFormat="1" applyFont="1" applyFill="1" applyBorder="1" applyAlignment="1">
      <alignment horizontal="center"/>
    </xf>
    <xf numFmtId="3" fontId="7" fillId="0" borderId="3" xfId="0" applyNumberFormat="1" applyFont="1" applyBorder="1" applyAlignment="1">
      <alignment horizontal="center"/>
    </xf>
    <xf numFmtId="3" fontId="7" fillId="0" borderId="4" xfId="0" applyNumberFormat="1" applyFont="1" applyBorder="1" applyAlignment="1">
      <alignment horizontal="center"/>
    </xf>
    <xf numFmtId="3" fontId="7" fillId="0" borderId="5" xfId="0" applyNumberFormat="1" applyFont="1" applyBorder="1" applyAlignment="1">
      <alignment horizontal="center"/>
    </xf>
    <xf numFmtId="0" fontId="7" fillId="5" borderId="4" xfId="0" applyFont="1" applyFill="1" applyBorder="1" applyAlignment="1">
      <alignment vertical="top" wrapText="1"/>
    </xf>
    <xf numFmtId="0" fontId="9" fillId="5" borderId="0" xfId="0" applyFont="1" applyFill="1" applyBorder="1" applyAlignment="1">
      <alignment/>
    </xf>
    <xf numFmtId="0" fontId="8" fillId="0" borderId="0" xfId="0" applyFont="1" applyFill="1" applyBorder="1" applyAlignment="1">
      <alignment horizontal="left"/>
    </xf>
    <xf numFmtId="186" fontId="8" fillId="0" borderId="0" xfId="0" applyNumberFormat="1" applyFont="1" applyFill="1" applyBorder="1" applyAlignment="1">
      <alignment horizontal="center"/>
    </xf>
    <xf numFmtId="0" fontId="9" fillId="5" borderId="22" xfId="0" applyFont="1" applyFill="1" applyBorder="1" applyAlignment="1">
      <alignment/>
    </xf>
    <xf numFmtId="3" fontId="7" fillId="0" borderId="22" xfId="0" applyNumberFormat="1" applyFont="1" applyFill="1" applyBorder="1" applyAlignment="1">
      <alignment/>
    </xf>
    <xf numFmtId="3" fontId="7" fillId="0" borderId="22" xfId="0" applyNumberFormat="1" applyFont="1" applyBorder="1" applyAlignment="1">
      <alignment/>
    </xf>
    <xf numFmtId="3" fontId="7" fillId="0" borderId="12" xfId="0" applyNumberFormat="1" applyFont="1" applyBorder="1" applyAlignment="1">
      <alignment/>
    </xf>
    <xf numFmtId="3" fontId="7" fillId="0" borderId="12" xfId="0" applyNumberFormat="1" applyFont="1" applyFill="1" applyBorder="1" applyAlignment="1">
      <alignment/>
    </xf>
    <xf numFmtId="186" fontId="7" fillId="0" borderId="0" xfId="17" applyNumberFormat="1" applyFont="1" applyBorder="1" applyAlignment="1">
      <alignment horizontal="center" vertical="top" wrapText="1"/>
    </xf>
    <xf numFmtId="186" fontId="7" fillId="0" borderId="0" xfId="17" applyNumberFormat="1" applyFont="1" applyBorder="1" applyAlignment="1">
      <alignment horizontal="right" vertical="top" wrapText="1"/>
    </xf>
    <xf numFmtId="0" fontId="7" fillId="6" borderId="0" xfId="0" applyFont="1" applyFill="1" applyBorder="1" applyAlignment="1">
      <alignment/>
    </xf>
    <xf numFmtId="0" fontId="8" fillId="6" borderId="0" xfId="0" applyFont="1" applyFill="1" applyBorder="1" applyAlignment="1">
      <alignment horizontal="center" vertical="center" wrapText="1"/>
    </xf>
    <xf numFmtId="0" fontId="8" fillId="6" borderId="0" xfId="0" applyFont="1" applyFill="1" applyBorder="1" applyAlignment="1">
      <alignment vertical="top" wrapText="1"/>
    </xf>
    <xf numFmtId="0" fontId="8" fillId="6" borderId="0" xfId="0" applyFont="1" applyFill="1" applyBorder="1" applyAlignment="1">
      <alignment horizontal="left"/>
    </xf>
    <xf numFmtId="186" fontId="8" fillId="6" borderId="0" xfId="0" applyNumberFormat="1" applyFont="1" applyFill="1" applyBorder="1" applyAlignment="1">
      <alignment horizontal="center"/>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vertical="top"/>
    </xf>
    <xf numFmtId="175" fontId="7" fillId="0" borderId="0" xfId="17" applyNumberFormat="1" applyFont="1" applyFill="1" applyBorder="1" applyAlignment="1">
      <alignment horizontal="right" vertical="top" wrapText="1"/>
    </xf>
    <xf numFmtId="186" fontId="8" fillId="0" borderId="0" xfId="17" applyNumberFormat="1" applyFont="1" applyBorder="1" applyAlignment="1">
      <alignment horizontal="right" vertical="top" wrapText="1"/>
    </xf>
    <xf numFmtId="0" fontId="7" fillId="3" borderId="0" xfId="0" applyFont="1" applyFill="1" applyBorder="1" applyAlignment="1">
      <alignment vertical="top" wrapText="1"/>
    </xf>
    <xf numFmtId="9" fontId="7" fillId="3" borderId="0" xfId="21" applyFont="1" applyFill="1" applyBorder="1" applyAlignment="1">
      <alignment vertical="top" wrapText="1"/>
    </xf>
    <xf numFmtId="0" fontId="8" fillId="3" borderId="0" xfId="0" applyFont="1" applyFill="1" applyBorder="1" applyAlignment="1">
      <alignment vertical="top" wrapText="1"/>
    </xf>
    <xf numFmtId="0" fontId="7" fillId="0" borderId="33" xfId="0" applyFont="1" applyBorder="1" applyAlignment="1">
      <alignment/>
    </xf>
    <xf numFmtId="0" fontId="7" fillId="0" borderId="34" xfId="0" applyFont="1" applyBorder="1" applyAlignment="1">
      <alignment vertical="top" wrapText="1"/>
    </xf>
    <xf numFmtId="0" fontId="9" fillId="0" borderId="35" xfId="0" applyFont="1" applyBorder="1" applyAlignment="1">
      <alignment/>
    </xf>
    <xf numFmtId="0" fontId="9" fillId="0" borderId="36" xfId="0" applyFont="1" applyBorder="1" applyAlignment="1">
      <alignment/>
    </xf>
    <xf numFmtId="0" fontId="9" fillId="0" borderId="36" xfId="0" applyFont="1" applyFill="1" applyBorder="1" applyAlignment="1">
      <alignment/>
    </xf>
    <xf numFmtId="0" fontId="7" fillId="0" borderId="34" xfId="0" applyFont="1" applyBorder="1" applyAlignment="1">
      <alignment/>
    </xf>
    <xf numFmtId="0" fontId="7" fillId="0" borderId="0" xfId="0" applyFont="1" applyBorder="1" applyAlignment="1">
      <alignment horizontal="left" vertical="top" wrapText="1" indent="2"/>
    </xf>
    <xf numFmtId="0" fontId="7" fillId="0" borderId="0" xfId="0" applyFont="1" applyBorder="1" applyAlignment="1">
      <alignment horizontal="left" vertical="top" indent="2"/>
    </xf>
    <xf numFmtId="0" fontId="7" fillId="0" borderId="0" xfId="0" applyFont="1" applyBorder="1" applyAlignment="1">
      <alignment horizontal="left" indent="2"/>
    </xf>
    <xf numFmtId="0" fontId="7" fillId="0" borderId="0" xfId="0" applyFont="1" applyFill="1" applyBorder="1" applyAlignment="1">
      <alignment horizontal="left" indent="2"/>
    </xf>
    <xf numFmtId="0" fontId="8" fillId="3" borderId="0" xfId="0" applyFont="1" applyFill="1" applyBorder="1" applyAlignment="1">
      <alignment horizontal="center" vertical="center" wrapText="1"/>
    </xf>
    <xf numFmtId="0" fontId="13" fillId="0" borderId="0" xfId="0" applyFont="1" applyBorder="1" applyAlignment="1">
      <alignment/>
    </xf>
    <xf numFmtId="9" fontId="8" fillId="0" borderId="0" xfId="21" applyFont="1" applyBorder="1" applyAlignment="1">
      <alignment horizontal="right" vertical="top" wrapText="1"/>
    </xf>
    <xf numFmtId="9" fontId="8" fillId="0" borderId="0" xfId="21" applyFont="1" applyFill="1" applyBorder="1" applyAlignment="1">
      <alignment horizontal="right" vertical="top" wrapText="1"/>
    </xf>
    <xf numFmtId="186" fontId="8" fillId="0" borderId="0" xfId="17" applyNumberFormat="1" applyFont="1" applyFill="1" applyBorder="1" applyAlignment="1">
      <alignment horizontal="right" vertical="top" wrapText="1"/>
    </xf>
    <xf numFmtId="0" fontId="13" fillId="0" borderId="0" xfId="0" applyFont="1" applyFill="1" applyAlignment="1">
      <alignment horizontal="left"/>
    </xf>
    <xf numFmtId="44" fontId="8" fillId="0" borderId="0" xfId="17" applyFont="1" applyBorder="1" applyAlignment="1">
      <alignment/>
    </xf>
    <xf numFmtId="0" fontId="13" fillId="0" borderId="0" xfId="0" applyFont="1" applyAlignment="1">
      <alignment horizontal="left" indent="1"/>
    </xf>
    <xf numFmtId="9" fontId="8" fillId="0" borderId="0" xfId="21" applyFont="1" applyBorder="1" applyAlignment="1">
      <alignment/>
    </xf>
    <xf numFmtId="0" fontId="7" fillId="3" borderId="6" xfId="0" applyFont="1" applyFill="1" applyBorder="1" applyAlignment="1">
      <alignment horizontal="center"/>
    </xf>
    <xf numFmtId="0" fontId="7" fillId="3" borderId="9" xfId="0" applyFont="1" applyFill="1" applyBorder="1" applyAlignment="1">
      <alignment horizontal="center"/>
    </xf>
    <xf numFmtId="0" fontId="8" fillId="3" borderId="0" xfId="0" applyFont="1" applyFill="1" applyAlignment="1">
      <alignment/>
    </xf>
    <xf numFmtId="3" fontId="8" fillId="3" borderId="9" xfId="0" applyNumberFormat="1" applyFont="1" applyFill="1" applyBorder="1" applyAlignment="1">
      <alignment/>
    </xf>
    <xf numFmtId="0" fontId="7" fillId="4" borderId="0" xfId="0" applyFont="1" applyFill="1" applyBorder="1" applyAlignment="1">
      <alignment horizontal="center"/>
    </xf>
    <xf numFmtId="0" fontId="7" fillId="4" borderId="1" xfId="0" applyFont="1" applyFill="1" applyBorder="1" applyAlignment="1">
      <alignment horizontal="center"/>
    </xf>
    <xf numFmtId="173" fontId="7" fillId="4" borderId="0" xfId="21" applyNumberFormat="1" applyFont="1" applyFill="1" applyBorder="1" applyAlignment="1">
      <alignment/>
    </xf>
    <xf numFmtId="173" fontId="7" fillId="4" borderId="1" xfId="21" applyNumberFormat="1" applyFont="1" applyFill="1" applyBorder="1" applyAlignment="1">
      <alignment/>
    </xf>
    <xf numFmtId="10" fontId="7" fillId="4" borderId="1" xfId="0" applyNumberFormat="1" applyFont="1" applyFill="1" applyBorder="1" applyAlignment="1">
      <alignment/>
    </xf>
    <xf numFmtId="9" fontId="7" fillId="4" borderId="1" xfId="0" applyNumberFormat="1" applyFont="1" applyFill="1" applyBorder="1" applyAlignment="1">
      <alignment/>
    </xf>
    <xf numFmtId="173" fontId="7" fillId="4" borderId="1" xfId="0" applyNumberFormat="1" applyFont="1" applyFill="1" applyBorder="1" applyAlignment="1">
      <alignment/>
    </xf>
    <xf numFmtId="186" fontId="7" fillId="4" borderId="1" xfId="0" applyNumberFormat="1" applyFont="1" applyFill="1" applyBorder="1" applyAlignment="1">
      <alignment/>
    </xf>
    <xf numFmtId="0" fontId="7" fillId="0" borderId="0" xfId="0" applyFont="1" applyFill="1" applyAlignment="1">
      <alignment horizontal="right"/>
    </xf>
    <xf numFmtId="9" fontId="7" fillId="4" borderId="1" xfId="21" applyNumberFormat="1" applyFont="1" applyFill="1" applyBorder="1" applyAlignment="1">
      <alignment/>
    </xf>
    <xf numFmtId="3" fontId="2" fillId="0" borderId="0" xfId="20" applyNumberFormat="1" applyAlignment="1" applyProtection="1">
      <alignment/>
      <protection/>
    </xf>
    <xf numFmtId="186" fontId="7" fillId="0" borderId="1" xfId="0" applyNumberFormat="1" applyFont="1" applyBorder="1" applyAlignment="1">
      <alignment/>
    </xf>
    <xf numFmtId="178" fontId="0" fillId="0" borderId="0" xfId="15" applyNumberFormat="1" applyFont="1" applyAlignment="1">
      <alignment/>
    </xf>
    <xf numFmtId="178" fontId="7" fillId="0" borderId="10" xfId="15" applyNumberFormat="1" applyFont="1" applyBorder="1" applyAlignment="1">
      <alignment/>
    </xf>
    <xf numFmtId="178" fontId="7" fillId="0" borderId="6" xfId="15" applyNumberFormat="1" applyFont="1" applyBorder="1" applyAlignment="1">
      <alignment/>
    </xf>
    <xf numFmtId="178" fontId="7" fillId="0" borderId="9" xfId="15" applyNumberFormat="1" applyFont="1" applyBorder="1" applyAlignment="1">
      <alignment/>
    </xf>
    <xf numFmtId="178" fontId="7" fillId="0" borderId="3" xfId="15" applyNumberFormat="1" applyFont="1" applyFill="1" applyBorder="1" applyAlignment="1">
      <alignment horizontal="center"/>
    </xf>
    <xf numFmtId="178" fontId="7" fillId="0" borderId="4" xfId="15" applyNumberFormat="1" applyFont="1" applyFill="1" applyBorder="1" applyAlignment="1">
      <alignment horizontal="center"/>
    </xf>
    <xf numFmtId="178" fontId="7" fillId="0" borderId="0" xfId="15" applyNumberFormat="1" applyFont="1" applyFill="1" applyBorder="1" applyAlignment="1">
      <alignment horizontal="center"/>
    </xf>
    <xf numFmtId="178" fontId="14" fillId="0" borderId="0" xfId="15" applyNumberFormat="1" applyFont="1" applyAlignment="1">
      <alignment horizontal="left"/>
    </xf>
    <xf numFmtId="178" fontId="0" fillId="0" borderId="0" xfId="15" applyNumberFormat="1" applyFont="1" applyAlignment="1">
      <alignment horizontal="left" indent="1"/>
    </xf>
    <xf numFmtId="178" fontId="0" fillId="0" borderId="0" xfId="15" applyNumberFormat="1" applyFont="1" applyAlignment="1">
      <alignment horizontal="left" indent="2"/>
    </xf>
    <xf numFmtId="0" fontId="16" fillId="3" borderId="2" xfId="0" applyFont="1" applyFill="1" applyBorder="1" applyAlignment="1">
      <alignment/>
    </xf>
    <xf numFmtId="0" fontId="17" fillId="3" borderId="0" xfId="0" applyFont="1" applyFill="1" applyBorder="1" applyAlignment="1">
      <alignment/>
    </xf>
    <xf numFmtId="0" fontId="17" fillId="3" borderId="1" xfId="0" applyFont="1" applyFill="1" applyBorder="1" applyAlignment="1">
      <alignment/>
    </xf>
    <xf numFmtId="0" fontId="15" fillId="5" borderId="2" xfId="0" applyFont="1" applyFill="1" applyBorder="1" applyAlignment="1">
      <alignment/>
    </xf>
    <xf numFmtId="0" fontId="15" fillId="5" borderId="0" xfId="0" applyFont="1" applyFill="1" applyBorder="1" applyAlignment="1">
      <alignment/>
    </xf>
    <xf numFmtId="0" fontId="15" fillId="5" borderId="1" xfId="0" applyFont="1" applyFill="1" applyBorder="1" applyAlignment="1">
      <alignment/>
    </xf>
    <xf numFmtId="0" fontId="17" fillId="0" borderId="2" xfId="0" applyFont="1" applyBorder="1" applyAlignment="1">
      <alignment/>
    </xf>
    <xf numFmtId="186" fontId="17" fillId="0" borderId="0" xfId="17" applyNumberFormat="1" applyFont="1" applyBorder="1" applyAlignment="1">
      <alignment/>
    </xf>
    <xf numFmtId="186" fontId="17" fillId="0" borderId="1" xfId="17" applyNumberFormat="1" applyFont="1" applyBorder="1" applyAlignment="1">
      <alignment/>
    </xf>
    <xf numFmtId="0" fontId="16" fillId="0" borderId="2" xfId="0" applyFont="1" applyBorder="1" applyAlignment="1">
      <alignment horizontal="left" indent="2"/>
    </xf>
    <xf numFmtId="186" fontId="16" fillId="0" borderId="0" xfId="17" applyNumberFormat="1" applyFont="1" applyBorder="1" applyAlignment="1">
      <alignment/>
    </xf>
    <xf numFmtId="186" fontId="16" fillId="0" borderId="1" xfId="17" applyNumberFormat="1" applyFont="1" applyBorder="1" applyAlignment="1">
      <alignment/>
    </xf>
    <xf numFmtId="9" fontId="17" fillId="0" borderId="0" xfId="21" applyFont="1" applyBorder="1" applyAlignment="1">
      <alignment/>
    </xf>
    <xf numFmtId="9" fontId="17" fillId="0" borderId="1" xfId="21" applyFont="1" applyBorder="1" applyAlignment="1">
      <alignment/>
    </xf>
    <xf numFmtId="9" fontId="15" fillId="5" borderId="0" xfId="21" applyFont="1" applyFill="1" applyBorder="1" applyAlignment="1">
      <alignment/>
    </xf>
    <xf numFmtId="9" fontId="15" fillId="5" borderId="1" xfId="21" applyFont="1" applyFill="1" applyBorder="1" applyAlignment="1">
      <alignment/>
    </xf>
    <xf numFmtId="0" fontId="15" fillId="5" borderId="3" xfId="0" applyFont="1" applyFill="1" applyBorder="1" applyAlignment="1">
      <alignment/>
    </xf>
    <xf numFmtId="9" fontId="15" fillId="5" borderId="4" xfId="0" applyNumberFormat="1" applyFont="1" applyFill="1" applyBorder="1" applyAlignment="1">
      <alignment/>
    </xf>
    <xf numFmtId="9" fontId="15" fillId="5" borderId="5" xfId="0" applyNumberFormat="1" applyFont="1" applyFill="1" applyBorder="1" applyAlignment="1">
      <alignment/>
    </xf>
    <xf numFmtId="0" fontId="18" fillId="5" borderId="10" xfId="0" applyFont="1" applyFill="1" applyBorder="1" applyAlignment="1">
      <alignment horizontal="center"/>
    </xf>
    <xf numFmtId="0" fontId="18" fillId="5" borderId="6" xfId="0" applyFont="1" applyFill="1" applyBorder="1" applyAlignment="1">
      <alignment horizontal="center"/>
    </xf>
    <xf numFmtId="0" fontId="18" fillId="5" borderId="9" xfId="0" applyFont="1" applyFill="1" applyBorder="1" applyAlignment="1">
      <alignment horizontal="center"/>
    </xf>
    <xf numFmtId="0" fontId="8" fillId="7" borderId="0" xfId="0" applyFont="1" applyFill="1" applyBorder="1" applyAlignment="1">
      <alignment/>
    </xf>
    <xf numFmtId="4" fontId="7" fillId="0" borderId="0" xfId="0" applyNumberFormat="1" applyFont="1" applyAlignment="1">
      <alignment/>
    </xf>
    <xf numFmtId="0" fontId="8" fillId="3" borderId="10" xfId="0" applyFont="1" applyFill="1" applyBorder="1" applyAlignment="1">
      <alignment vertical="top" wrapText="1"/>
    </xf>
    <xf numFmtId="0" fontId="8" fillId="3" borderId="6" xfId="0" applyFont="1" applyFill="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186" fontId="7" fillId="8" borderId="0" xfId="17" applyNumberFormat="1" applyFont="1" applyFill="1" applyBorder="1" applyAlignment="1">
      <alignment horizontal="center"/>
    </xf>
    <xf numFmtId="186" fontId="7" fillId="8" borderId="1" xfId="17"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www.boston.com/business/globe/articles/2007/11/06/online_figures/" TargetMode="Externa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C4:E16"/>
  <sheetViews>
    <sheetView tabSelected="1" workbookViewId="0" topLeftCell="A1">
      <selection activeCell="F37" sqref="F37"/>
    </sheetView>
  </sheetViews>
  <sheetFormatPr defaultColWidth="8.8515625" defaultRowHeight="12.75"/>
  <cols>
    <col min="1" max="2" width="11.421875" style="0" customWidth="1"/>
    <col min="3" max="3" width="30.140625" style="0" bestFit="1" customWidth="1"/>
    <col min="4" max="4" width="15.28125" style="0" customWidth="1"/>
    <col min="5" max="5" width="14.00390625" style="0" bestFit="1" customWidth="1"/>
  </cols>
  <sheetData>
    <row r="3" ht="12.75" thickBot="1"/>
    <row r="4" spans="3:5" ht="15">
      <c r="C4" s="372" t="s">
        <v>493</v>
      </c>
      <c r="D4" s="373"/>
      <c r="E4" s="374"/>
    </row>
    <row r="5" spans="3:5" ht="12.75">
      <c r="C5" s="353"/>
      <c r="D5" s="354" t="s">
        <v>196</v>
      </c>
      <c r="E5" s="355" t="s">
        <v>198</v>
      </c>
    </row>
    <row r="6" spans="3:5" ht="12.75">
      <c r="C6" s="356" t="s">
        <v>57</v>
      </c>
      <c r="D6" s="357"/>
      <c r="E6" s="358"/>
    </row>
    <row r="7" spans="3:5" ht="12.75">
      <c r="C7" s="359" t="s">
        <v>494</v>
      </c>
      <c r="D7" s="360">
        <f>'Income Statement'!B5</f>
        <v>3844942.9484068397</v>
      </c>
      <c r="E7" s="361">
        <f>'Income Statement'!D5</f>
        <v>19871008.650381003</v>
      </c>
    </row>
    <row r="8" spans="3:5" ht="12.75">
      <c r="C8" s="362" t="s">
        <v>495</v>
      </c>
      <c r="D8" s="363">
        <f>'Income Statement'!B18</f>
        <v>1330524.9484068397</v>
      </c>
      <c r="E8" s="364">
        <f>'Income Statement'!D18</f>
        <v>11282743.412881004</v>
      </c>
    </row>
    <row r="9" spans="3:5" ht="12.75">
      <c r="C9" s="362" t="s">
        <v>496</v>
      </c>
      <c r="D9" s="363">
        <f>'Income Statement'!B32</f>
        <v>597760</v>
      </c>
      <c r="E9" s="364">
        <f>'Income Statement'!D32</f>
        <v>5105557.2375</v>
      </c>
    </row>
    <row r="10" spans="3:5" ht="12.75">
      <c r="C10" s="362" t="s">
        <v>497</v>
      </c>
      <c r="D10" s="363">
        <f>'Income Statement'!B43</f>
        <v>1916658</v>
      </c>
      <c r="E10" s="364">
        <f>'Income Statement'!D43</f>
        <v>3482708</v>
      </c>
    </row>
    <row r="11" spans="3:5" ht="12.75">
      <c r="C11" s="359" t="s">
        <v>498</v>
      </c>
      <c r="D11" s="365">
        <f>D8/D7</f>
        <v>0.34604543325100456</v>
      </c>
      <c r="E11" s="366">
        <f>E8/E7</f>
        <v>0.567799230094174</v>
      </c>
    </row>
    <row r="12" spans="3:5" ht="12.75">
      <c r="C12" s="356" t="s">
        <v>58</v>
      </c>
      <c r="D12" s="367"/>
      <c r="E12" s="368"/>
    </row>
    <row r="13" spans="3:5" ht="12.75">
      <c r="C13" s="359" t="s">
        <v>499</v>
      </c>
      <c r="D13" s="360">
        <f>'Income Statement'!B76</f>
        <v>3975126.25</v>
      </c>
      <c r="E13" s="361">
        <f>'Income Statement'!D76</f>
        <v>10502874.2671875</v>
      </c>
    </row>
    <row r="14" spans="3:5" ht="12.75">
      <c r="C14" s="359" t="s">
        <v>500</v>
      </c>
      <c r="D14" s="360">
        <f>'Income Statement'!B79</f>
        <v>-130183.30159316026</v>
      </c>
      <c r="E14" s="361">
        <f>'Income Statement'!D79</f>
        <v>9368134.383193502</v>
      </c>
    </row>
    <row r="15" spans="3:5" ht="12.75">
      <c r="C15" s="359" t="s">
        <v>502</v>
      </c>
      <c r="D15" s="360">
        <f>'Income Statement'!B92</f>
        <v>-78109.98095589614</v>
      </c>
      <c r="E15" s="361">
        <f>'Income Statement'!D92</f>
        <v>5620880.629916102</v>
      </c>
    </row>
    <row r="16" spans="3:5" ht="13.5" thickBot="1">
      <c r="C16" s="369" t="s">
        <v>501</v>
      </c>
      <c r="D16" s="370">
        <f>'Income Statement'!B93</f>
        <v>-0.020314990886473667</v>
      </c>
      <c r="E16" s="371">
        <f>'Income Statement'!D93</f>
        <v>0.2828684103968888</v>
      </c>
    </row>
    <row r="17" ht="12.75"/>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2:AS343"/>
  <sheetViews>
    <sheetView zoomScale="110" zoomScaleNormal="110" workbookViewId="0" topLeftCell="A4">
      <selection activeCell="H9" sqref="H9"/>
    </sheetView>
  </sheetViews>
  <sheetFormatPr defaultColWidth="11.57421875" defaultRowHeight="12.75"/>
  <cols>
    <col min="1" max="1" width="3.140625" style="25" customWidth="1"/>
    <col min="2" max="2" width="43.7109375" style="25" customWidth="1"/>
    <col min="3" max="3" width="12.7109375" style="25" customWidth="1"/>
    <col min="4" max="4" width="12.140625" style="25" customWidth="1"/>
    <col min="5" max="5" width="12.28125" style="25" customWidth="1"/>
    <col min="6" max="6" width="33.7109375" style="25" customWidth="1"/>
    <col min="7" max="7" width="4.421875" style="25" customWidth="1"/>
    <col min="8" max="8" width="11.710937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2" spans="1:43" ht="13.5">
      <c r="A2" s="270" t="s">
        <v>182</v>
      </c>
      <c r="B2" s="231"/>
      <c r="C2" s="327" t="s">
        <v>196</v>
      </c>
      <c r="D2" s="327" t="s">
        <v>197</v>
      </c>
      <c r="E2" s="327" t="s">
        <v>198</v>
      </c>
      <c r="F2" s="328" t="s">
        <v>207</v>
      </c>
      <c r="H2" s="53" t="s">
        <v>196</v>
      </c>
      <c r="I2" s="54"/>
      <c r="J2" s="54"/>
      <c r="K2" s="54"/>
      <c r="L2" s="54"/>
      <c r="M2" s="54"/>
      <c r="N2" s="54"/>
      <c r="O2" s="54"/>
      <c r="P2" s="54"/>
      <c r="Q2" s="54"/>
      <c r="R2" s="54"/>
      <c r="S2" s="39"/>
      <c r="T2" s="53" t="s">
        <v>197</v>
      </c>
      <c r="U2" s="54"/>
      <c r="V2" s="54"/>
      <c r="W2" s="54"/>
      <c r="X2" s="54"/>
      <c r="Y2" s="54"/>
      <c r="Z2" s="54"/>
      <c r="AA2" s="54"/>
      <c r="AB2" s="54"/>
      <c r="AC2" s="54"/>
      <c r="AD2" s="54"/>
      <c r="AE2" s="39"/>
      <c r="AF2" s="53" t="s">
        <v>198</v>
      </c>
      <c r="AG2" s="54"/>
      <c r="AH2" s="54"/>
      <c r="AI2" s="54"/>
      <c r="AJ2" s="54"/>
      <c r="AK2" s="54"/>
      <c r="AL2" s="54"/>
      <c r="AM2" s="54"/>
      <c r="AN2" s="54"/>
      <c r="AO2" s="54"/>
      <c r="AP2" s="54"/>
      <c r="AQ2" s="39"/>
    </row>
    <row r="3" spans="1:43" ht="13.5">
      <c r="A3" s="32"/>
      <c r="B3" s="26"/>
      <c r="C3" s="26"/>
      <c r="D3" s="26"/>
      <c r="E3" s="26"/>
      <c r="F3" s="108"/>
      <c r="H3" s="40" t="s">
        <v>200</v>
      </c>
      <c r="I3" s="41" t="s">
        <v>201</v>
      </c>
      <c r="J3" s="41" t="s">
        <v>202</v>
      </c>
      <c r="K3" s="41" t="s">
        <v>203</v>
      </c>
      <c r="L3" s="41" t="s">
        <v>477</v>
      </c>
      <c r="M3" s="41" t="s">
        <v>357</v>
      </c>
      <c r="N3" s="41" t="s">
        <v>358</v>
      </c>
      <c r="O3" s="41" t="s">
        <v>359</v>
      </c>
      <c r="P3" s="41" t="s">
        <v>360</v>
      </c>
      <c r="Q3" s="41" t="s">
        <v>361</v>
      </c>
      <c r="R3" s="41" t="s">
        <v>362</v>
      </c>
      <c r="S3" s="41" t="s">
        <v>363</v>
      </c>
      <c r="T3" s="41" t="s">
        <v>200</v>
      </c>
      <c r="U3" s="41" t="s">
        <v>201</v>
      </c>
      <c r="V3" s="41" t="s">
        <v>202</v>
      </c>
      <c r="W3" s="41" t="s">
        <v>203</v>
      </c>
      <c r="X3" s="41" t="s">
        <v>477</v>
      </c>
      <c r="Y3" s="41" t="s">
        <v>357</v>
      </c>
      <c r="Z3" s="41" t="s">
        <v>358</v>
      </c>
      <c r="AA3" s="41" t="s">
        <v>359</v>
      </c>
      <c r="AB3" s="41" t="s">
        <v>360</v>
      </c>
      <c r="AC3" s="41" t="s">
        <v>361</v>
      </c>
      <c r="AD3" s="41" t="s">
        <v>362</v>
      </c>
      <c r="AE3" s="41" t="s">
        <v>363</v>
      </c>
      <c r="AF3" s="43" t="s">
        <v>200</v>
      </c>
      <c r="AG3" s="43" t="s">
        <v>201</v>
      </c>
      <c r="AH3" s="43" t="s">
        <v>202</v>
      </c>
      <c r="AI3" s="43" t="s">
        <v>203</v>
      </c>
      <c r="AJ3" s="43" t="s">
        <v>477</v>
      </c>
      <c r="AK3" s="43" t="s">
        <v>357</v>
      </c>
      <c r="AL3" s="43" t="s">
        <v>358</v>
      </c>
      <c r="AM3" s="43" t="s">
        <v>359</v>
      </c>
      <c r="AN3" s="43" t="s">
        <v>360</v>
      </c>
      <c r="AO3" s="43" t="s">
        <v>361</v>
      </c>
      <c r="AP3" s="43" t="s">
        <v>362</v>
      </c>
      <c r="AQ3" s="106" t="s">
        <v>363</v>
      </c>
    </row>
    <row r="4" spans="1:43" ht="13.5">
      <c r="A4" s="32" t="s">
        <v>514</v>
      </c>
      <c r="B4" s="156"/>
      <c r="C4" s="23">
        <f>C76</f>
        <v>928400</v>
      </c>
      <c r="D4" s="23">
        <f>D76</f>
        <v>1108400</v>
      </c>
      <c r="E4" s="23">
        <f>E76</f>
        <v>1198400</v>
      </c>
      <c r="F4" s="108" t="s">
        <v>452</v>
      </c>
      <c r="H4" s="111">
        <v>0</v>
      </c>
      <c r="I4" s="111">
        <v>0</v>
      </c>
      <c r="J4" s="111">
        <v>0</v>
      </c>
      <c r="K4" s="111">
        <f aca="true" t="shared" si="0" ref="K4:S4">$C$4/9</f>
        <v>103155.55555555556</v>
      </c>
      <c r="L4" s="111">
        <f t="shared" si="0"/>
        <v>103155.55555555556</v>
      </c>
      <c r="M4" s="111">
        <f t="shared" si="0"/>
        <v>103155.55555555556</v>
      </c>
      <c r="N4" s="111">
        <f t="shared" si="0"/>
        <v>103155.55555555556</v>
      </c>
      <c r="O4" s="111">
        <f t="shared" si="0"/>
        <v>103155.55555555556</v>
      </c>
      <c r="P4" s="111">
        <f t="shared" si="0"/>
        <v>103155.55555555556</v>
      </c>
      <c r="Q4" s="111">
        <f t="shared" si="0"/>
        <v>103155.55555555556</v>
      </c>
      <c r="R4" s="111">
        <f t="shared" si="0"/>
        <v>103155.55555555556</v>
      </c>
      <c r="S4" s="111">
        <f t="shared" si="0"/>
        <v>103155.55555555556</v>
      </c>
      <c r="T4" s="23">
        <f aca="true" t="shared" si="1" ref="T4:AE4">$D$4/12</f>
        <v>92366.66666666667</v>
      </c>
      <c r="U4" s="23">
        <f t="shared" si="1"/>
        <v>92366.66666666667</v>
      </c>
      <c r="V4" s="23">
        <f t="shared" si="1"/>
        <v>92366.66666666667</v>
      </c>
      <c r="W4" s="23">
        <f t="shared" si="1"/>
        <v>92366.66666666667</v>
      </c>
      <c r="X4" s="23">
        <f t="shared" si="1"/>
        <v>92366.66666666667</v>
      </c>
      <c r="Y4" s="23">
        <f t="shared" si="1"/>
        <v>92366.66666666667</v>
      </c>
      <c r="Z4" s="23">
        <f t="shared" si="1"/>
        <v>92366.66666666667</v>
      </c>
      <c r="AA4" s="23">
        <f t="shared" si="1"/>
        <v>92366.66666666667</v>
      </c>
      <c r="AB4" s="23">
        <f t="shared" si="1"/>
        <v>92366.66666666667</v>
      </c>
      <c r="AC4" s="23">
        <f t="shared" si="1"/>
        <v>92366.66666666667</v>
      </c>
      <c r="AD4" s="23">
        <f t="shared" si="1"/>
        <v>92366.66666666667</v>
      </c>
      <c r="AE4" s="23">
        <f t="shared" si="1"/>
        <v>92366.66666666667</v>
      </c>
      <c r="AF4" s="23">
        <f aca="true" t="shared" si="2" ref="AF4:AQ4">$E$4/12</f>
        <v>99866.66666666667</v>
      </c>
      <c r="AG4" s="23">
        <f t="shared" si="2"/>
        <v>99866.66666666667</v>
      </c>
      <c r="AH4" s="23">
        <f t="shared" si="2"/>
        <v>99866.66666666667</v>
      </c>
      <c r="AI4" s="23">
        <f t="shared" si="2"/>
        <v>99866.66666666667</v>
      </c>
      <c r="AJ4" s="23">
        <f t="shared" si="2"/>
        <v>99866.66666666667</v>
      </c>
      <c r="AK4" s="23">
        <f t="shared" si="2"/>
        <v>99866.66666666667</v>
      </c>
      <c r="AL4" s="23">
        <f t="shared" si="2"/>
        <v>99866.66666666667</v>
      </c>
      <c r="AM4" s="23">
        <f t="shared" si="2"/>
        <v>99866.66666666667</v>
      </c>
      <c r="AN4" s="23">
        <f t="shared" si="2"/>
        <v>99866.66666666667</v>
      </c>
      <c r="AO4" s="23">
        <f t="shared" si="2"/>
        <v>99866.66666666667</v>
      </c>
      <c r="AP4" s="23">
        <f t="shared" si="2"/>
        <v>99866.66666666667</v>
      </c>
      <c r="AQ4" s="112">
        <f t="shared" si="2"/>
        <v>99866.66666666667</v>
      </c>
    </row>
    <row r="5" spans="1:43" ht="13.5">
      <c r="A5" s="32"/>
      <c r="B5" s="156"/>
      <c r="C5" s="26"/>
      <c r="D5" s="26"/>
      <c r="E5" s="26"/>
      <c r="F5" s="108"/>
      <c r="H5" s="32"/>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108"/>
    </row>
    <row r="6" spans="1:45" ht="13.5">
      <c r="A6" s="32" t="s">
        <v>183</v>
      </c>
      <c r="B6" s="26"/>
      <c r="C6" s="23">
        <f>C114</f>
        <v>742500</v>
      </c>
      <c r="D6" s="23">
        <f>D114</f>
        <v>990000</v>
      </c>
      <c r="E6" s="23">
        <f>E114</f>
        <v>1237500</v>
      </c>
      <c r="F6" s="108" t="s">
        <v>452</v>
      </c>
      <c r="H6" s="111">
        <v>0</v>
      </c>
      <c r="I6" s="111">
        <v>0</v>
      </c>
      <c r="J6" s="111">
        <v>0</v>
      </c>
      <c r="K6" s="111">
        <f aca="true" t="shared" si="3" ref="K6:S6">$C$6/9</f>
        <v>82500</v>
      </c>
      <c r="L6" s="111">
        <f t="shared" si="3"/>
        <v>82500</v>
      </c>
      <c r="M6" s="111">
        <f t="shared" si="3"/>
        <v>82500</v>
      </c>
      <c r="N6" s="111">
        <f t="shared" si="3"/>
        <v>82500</v>
      </c>
      <c r="O6" s="111">
        <f t="shared" si="3"/>
        <v>82500</v>
      </c>
      <c r="P6" s="111">
        <f t="shared" si="3"/>
        <v>82500</v>
      </c>
      <c r="Q6" s="111">
        <f t="shared" si="3"/>
        <v>82500</v>
      </c>
      <c r="R6" s="111">
        <f t="shared" si="3"/>
        <v>82500</v>
      </c>
      <c r="S6" s="111">
        <f t="shared" si="3"/>
        <v>82500</v>
      </c>
      <c r="T6" s="23">
        <f aca="true" t="shared" si="4" ref="T6:AE6">$D$6/12</f>
        <v>82500</v>
      </c>
      <c r="U6" s="23">
        <f t="shared" si="4"/>
        <v>82500</v>
      </c>
      <c r="V6" s="23">
        <f t="shared" si="4"/>
        <v>82500</v>
      </c>
      <c r="W6" s="23">
        <f t="shared" si="4"/>
        <v>82500</v>
      </c>
      <c r="X6" s="23">
        <f t="shared" si="4"/>
        <v>82500</v>
      </c>
      <c r="Y6" s="23">
        <f t="shared" si="4"/>
        <v>82500</v>
      </c>
      <c r="Z6" s="23">
        <f t="shared" si="4"/>
        <v>82500</v>
      </c>
      <c r="AA6" s="23">
        <f t="shared" si="4"/>
        <v>82500</v>
      </c>
      <c r="AB6" s="23">
        <f t="shared" si="4"/>
        <v>82500</v>
      </c>
      <c r="AC6" s="23">
        <f t="shared" si="4"/>
        <v>82500</v>
      </c>
      <c r="AD6" s="23">
        <f t="shared" si="4"/>
        <v>82500</v>
      </c>
      <c r="AE6" s="23">
        <f t="shared" si="4"/>
        <v>82500</v>
      </c>
      <c r="AF6" s="23">
        <f aca="true" t="shared" si="5" ref="AF6:AQ6">$E$6/12</f>
        <v>103125</v>
      </c>
      <c r="AG6" s="23">
        <f t="shared" si="5"/>
        <v>103125</v>
      </c>
      <c r="AH6" s="23">
        <f t="shared" si="5"/>
        <v>103125</v>
      </c>
      <c r="AI6" s="23">
        <f t="shared" si="5"/>
        <v>103125</v>
      </c>
      <c r="AJ6" s="23">
        <f t="shared" si="5"/>
        <v>103125</v>
      </c>
      <c r="AK6" s="23">
        <f t="shared" si="5"/>
        <v>103125</v>
      </c>
      <c r="AL6" s="23">
        <f t="shared" si="5"/>
        <v>103125</v>
      </c>
      <c r="AM6" s="23">
        <f t="shared" si="5"/>
        <v>103125</v>
      </c>
      <c r="AN6" s="23">
        <f t="shared" si="5"/>
        <v>103125</v>
      </c>
      <c r="AO6" s="23">
        <f t="shared" si="5"/>
        <v>103125</v>
      </c>
      <c r="AP6" s="23">
        <f t="shared" si="5"/>
        <v>103125</v>
      </c>
      <c r="AQ6" s="112">
        <f t="shared" si="5"/>
        <v>103125</v>
      </c>
      <c r="AR6" s="157"/>
      <c r="AS6" s="157"/>
    </row>
    <row r="7" spans="1:45" ht="13.5">
      <c r="A7" s="32"/>
      <c r="B7" s="26"/>
      <c r="C7" s="23"/>
      <c r="D7" s="23"/>
      <c r="E7" s="23"/>
      <c r="F7" s="108"/>
      <c r="H7" s="111"/>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112"/>
      <c r="AR7" s="157"/>
      <c r="AS7" s="157"/>
    </row>
    <row r="8" spans="1:43" ht="13.5">
      <c r="A8" s="32" t="s">
        <v>515</v>
      </c>
      <c r="B8" s="26"/>
      <c r="C8" s="23">
        <f>C167</f>
        <v>245758</v>
      </c>
      <c r="D8" s="23">
        <f>D167</f>
        <v>362472</v>
      </c>
      <c r="E8" s="23">
        <f>E167</f>
        <v>386808</v>
      </c>
      <c r="F8" s="108" t="s">
        <v>452</v>
      </c>
      <c r="H8" s="111">
        <v>0</v>
      </c>
      <c r="I8" s="111">
        <v>0</v>
      </c>
      <c r="J8" s="111">
        <v>0</v>
      </c>
      <c r="K8" s="111">
        <f aca="true" t="shared" si="6" ref="K8:S8">$C$8/9</f>
        <v>27306.444444444445</v>
      </c>
      <c r="L8" s="111">
        <f t="shared" si="6"/>
        <v>27306.444444444445</v>
      </c>
      <c r="M8" s="111">
        <f t="shared" si="6"/>
        <v>27306.444444444445</v>
      </c>
      <c r="N8" s="111">
        <f t="shared" si="6"/>
        <v>27306.444444444445</v>
      </c>
      <c r="O8" s="111">
        <f t="shared" si="6"/>
        <v>27306.444444444445</v>
      </c>
      <c r="P8" s="111">
        <f t="shared" si="6"/>
        <v>27306.444444444445</v>
      </c>
      <c r="Q8" s="111">
        <f t="shared" si="6"/>
        <v>27306.444444444445</v>
      </c>
      <c r="R8" s="111">
        <f t="shared" si="6"/>
        <v>27306.444444444445</v>
      </c>
      <c r="S8" s="111">
        <f t="shared" si="6"/>
        <v>27306.444444444445</v>
      </c>
      <c r="T8" s="23">
        <f aca="true" t="shared" si="7" ref="T8:AE8">$D$8/12</f>
        <v>30206</v>
      </c>
      <c r="U8" s="23">
        <f t="shared" si="7"/>
        <v>30206</v>
      </c>
      <c r="V8" s="23">
        <f t="shared" si="7"/>
        <v>30206</v>
      </c>
      <c r="W8" s="23">
        <f t="shared" si="7"/>
        <v>30206</v>
      </c>
      <c r="X8" s="23">
        <f t="shared" si="7"/>
        <v>30206</v>
      </c>
      <c r="Y8" s="23">
        <f t="shared" si="7"/>
        <v>30206</v>
      </c>
      <c r="Z8" s="23">
        <f t="shared" si="7"/>
        <v>30206</v>
      </c>
      <c r="AA8" s="23">
        <f t="shared" si="7"/>
        <v>30206</v>
      </c>
      <c r="AB8" s="23">
        <f t="shared" si="7"/>
        <v>30206</v>
      </c>
      <c r="AC8" s="23">
        <f t="shared" si="7"/>
        <v>30206</v>
      </c>
      <c r="AD8" s="23">
        <f t="shared" si="7"/>
        <v>30206</v>
      </c>
      <c r="AE8" s="23">
        <f t="shared" si="7"/>
        <v>30206</v>
      </c>
      <c r="AF8" s="23">
        <f aca="true" t="shared" si="8" ref="AF8:AQ8">$E$8/12</f>
        <v>32234</v>
      </c>
      <c r="AG8" s="23">
        <f t="shared" si="8"/>
        <v>32234</v>
      </c>
      <c r="AH8" s="23">
        <f t="shared" si="8"/>
        <v>32234</v>
      </c>
      <c r="AI8" s="23">
        <f t="shared" si="8"/>
        <v>32234</v>
      </c>
      <c r="AJ8" s="23">
        <f t="shared" si="8"/>
        <v>32234</v>
      </c>
      <c r="AK8" s="23">
        <f t="shared" si="8"/>
        <v>32234</v>
      </c>
      <c r="AL8" s="23">
        <f t="shared" si="8"/>
        <v>32234</v>
      </c>
      <c r="AM8" s="23">
        <f t="shared" si="8"/>
        <v>32234</v>
      </c>
      <c r="AN8" s="23">
        <f t="shared" si="8"/>
        <v>32234</v>
      </c>
      <c r="AO8" s="23">
        <f t="shared" si="8"/>
        <v>32234</v>
      </c>
      <c r="AP8" s="23">
        <f t="shared" si="8"/>
        <v>32234</v>
      </c>
      <c r="AQ8" s="112">
        <f t="shared" si="8"/>
        <v>32234</v>
      </c>
    </row>
    <row r="9" spans="1:43" ht="13.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3" ht="13.5">
      <c r="A10" s="32" t="s">
        <v>516</v>
      </c>
      <c r="B10" s="26"/>
      <c r="C10" s="23">
        <v>0</v>
      </c>
      <c r="D10" s="23">
        <v>0</v>
      </c>
      <c r="E10" s="23">
        <v>0</v>
      </c>
      <c r="F10" s="108" t="s">
        <v>184</v>
      </c>
      <c r="H10" s="111">
        <f>C10/12</f>
        <v>0</v>
      </c>
      <c r="I10" s="23">
        <f aca="true" t="shared" si="9" ref="I10:S10">$C$10/12</f>
        <v>0</v>
      </c>
      <c r="J10" s="23">
        <f t="shared" si="9"/>
        <v>0</v>
      </c>
      <c r="K10" s="23">
        <f t="shared" si="9"/>
        <v>0</v>
      </c>
      <c r="L10" s="23">
        <f t="shared" si="9"/>
        <v>0</v>
      </c>
      <c r="M10" s="23">
        <f t="shared" si="9"/>
        <v>0</v>
      </c>
      <c r="N10" s="23">
        <f t="shared" si="9"/>
        <v>0</v>
      </c>
      <c r="O10" s="23">
        <f t="shared" si="9"/>
        <v>0</v>
      </c>
      <c r="P10" s="23">
        <f t="shared" si="9"/>
        <v>0</v>
      </c>
      <c r="Q10" s="23">
        <f t="shared" si="9"/>
        <v>0</v>
      </c>
      <c r="R10" s="23">
        <f t="shared" si="9"/>
        <v>0</v>
      </c>
      <c r="S10" s="23">
        <f t="shared" si="9"/>
        <v>0</v>
      </c>
      <c r="T10" s="23">
        <f aca="true" t="shared" si="10" ref="T10:AE10">$D$10/12</f>
        <v>0</v>
      </c>
      <c r="U10" s="23">
        <f t="shared" si="10"/>
        <v>0</v>
      </c>
      <c r="V10" s="23">
        <f t="shared" si="10"/>
        <v>0</v>
      </c>
      <c r="W10" s="23">
        <f t="shared" si="10"/>
        <v>0</v>
      </c>
      <c r="X10" s="23">
        <f t="shared" si="10"/>
        <v>0</v>
      </c>
      <c r="Y10" s="23">
        <f t="shared" si="10"/>
        <v>0</v>
      </c>
      <c r="Z10" s="23">
        <f t="shared" si="10"/>
        <v>0</v>
      </c>
      <c r="AA10" s="23">
        <f t="shared" si="10"/>
        <v>0</v>
      </c>
      <c r="AB10" s="23">
        <f t="shared" si="10"/>
        <v>0</v>
      </c>
      <c r="AC10" s="23">
        <f t="shared" si="10"/>
        <v>0</v>
      </c>
      <c r="AD10" s="23">
        <f t="shared" si="10"/>
        <v>0</v>
      </c>
      <c r="AE10" s="23">
        <f t="shared" si="10"/>
        <v>0</v>
      </c>
      <c r="AF10" s="23">
        <f aca="true" t="shared" si="11" ref="AF10:AQ10">$E$10/12</f>
        <v>0</v>
      </c>
      <c r="AG10" s="23">
        <f t="shared" si="11"/>
        <v>0</v>
      </c>
      <c r="AH10" s="23">
        <f t="shared" si="11"/>
        <v>0</v>
      </c>
      <c r="AI10" s="23">
        <f t="shared" si="11"/>
        <v>0</v>
      </c>
      <c r="AJ10" s="23">
        <f t="shared" si="11"/>
        <v>0</v>
      </c>
      <c r="AK10" s="23">
        <f t="shared" si="11"/>
        <v>0</v>
      </c>
      <c r="AL10" s="23">
        <f t="shared" si="11"/>
        <v>0</v>
      </c>
      <c r="AM10" s="23">
        <f t="shared" si="11"/>
        <v>0</v>
      </c>
      <c r="AN10" s="23">
        <f t="shared" si="11"/>
        <v>0</v>
      </c>
      <c r="AO10" s="23">
        <f t="shared" si="11"/>
        <v>0</v>
      </c>
      <c r="AP10" s="23">
        <f t="shared" si="11"/>
        <v>0</v>
      </c>
      <c r="AQ10" s="112">
        <f t="shared" si="11"/>
        <v>0</v>
      </c>
    </row>
    <row r="11" spans="1:43" ht="13.5">
      <c r="A11" s="32"/>
      <c r="B11" s="26"/>
      <c r="C11" s="37"/>
      <c r="D11" s="47"/>
      <c r="E11" s="47"/>
      <c r="F11" s="108"/>
      <c r="H11" s="154"/>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155"/>
    </row>
    <row r="12" spans="1:45" ht="13.5">
      <c r="A12" s="32" t="s">
        <v>517</v>
      </c>
      <c r="B12" s="26"/>
      <c r="C12" s="23">
        <f>C242</f>
        <v>0</v>
      </c>
      <c r="D12" s="23">
        <f>D242</f>
        <v>264000</v>
      </c>
      <c r="E12" s="23">
        <f>E242</f>
        <v>480000</v>
      </c>
      <c r="F12" s="108" t="s">
        <v>453</v>
      </c>
      <c r="H12" s="111">
        <f>C12/12</f>
        <v>0</v>
      </c>
      <c r="I12" s="23">
        <f aca="true" t="shared" si="12" ref="I12:S12">$C$12/12</f>
        <v>0</v>
      </c>
      <c r="J12" s="23">
        <f t="shared" si="12"/>
        <v>0</v>
      </c>
      <c r="K12" s="23">
        <f t="shared" si="12"/>
        <v>0</v>
      </c>
      <c r="L12" s="23">
        <f t="shared" si="12"/>
        <v>0</v>
      </c>
      <c r="M12" s="23">
        <f t="shared" si="12"/>
        <v>0</v>
      </c>
      <c r="N12" s="23">
        <f t="shared" si="12"/>
        <v>0</v>
      </c>
      <c r="O12" s="23">
        <f t="shared" si="12"/>
        <v>0</v>
      </c>
      <c r="P12" s="23">
        <f t="shared" si="12"/>
        <v>0</v>
      </c>
      <c r="Q12" s="23">
        <f t="shared" si="12"/>
        <v>0</v>
      </c>
      <c r="R12" s="23">
        <f t="shared" si="12"/>
        <v>0</v>
      </c>
      <c r="S12" s="23">
        <f t="shared" si="12"/>
        <v>0</v>
      </c>
      <c r="T12" s="23">
        <f aca="true" t="shared" si="13" ref="T12:AE12">$D$12/12</f>
        <v>22000</v>
      </c>
      <c r="U12" s="23">
        <f t="shared" si="13"/>
        <v>22000</v>
      </c>
      <c r="V12" s="23">
        <f t="shared" si="13"/>
        <v>22000</v>
      </c>
      <c r="W12" s="23">
        <f t="shared" si="13"/>
        <v>22000</v>
      </c>
      <c r="X12" s="23">
        <f t="shared" si="13"/>
        <v>22000</v>
      </c>
      <c r="Y12" s="23">
        <f t="shared" si="13"/>
        <v>22000</v>
      </c>
      <c r="Z12" s="23">
        <f t="shared" si="13"/>
        <v>22000</v>
      </c>
      <c r="AA12" s="23">
        <f t="shared" si="13"/>
        <v>22000</v>
      </c>
      <c r="AB12" s="23">
        <f t="shared" si="13"/>
        <v>22000</v>
      </c>
      <c r="AC12" s="23">
        <f t="shared" si="13"/>
        <v>22000</v>
      </c>
      <c r="AD12" s="23">
        <f t="shared" si="13"/>
        <v>22000</v>
      </c>
      <c r="AE12" s="23">
        <f t="shared" si="13"/>
        <v>22000</v>
      </c>
      <c r="AF12" s="23">
        <f aca="true" t="shared" si="14" ref="AF12:AQ12">$E$12/12</f>
        <v>40000</v>
      </c>
      <c r="AG12" s="23">
        <f t="shared" si="14"/>
        <v>40000</v>
      </c>
      <c r="AH12" s="23">
        <f t="shared" si="14"/>
        <v>40000</v>
      </c>
      <c r="AI12" s="23">
        <f t="shared" si="14"/>
        <v>40000</v>
      </c>
      <c r="AJ12" s="23">
        <f t="shared" si="14"/>
        <v>40000</v>
      </c>
      <c r="AK12" s="23">
        <f t="shared" si="14"/>
        <v>40000</v>
      </c>
      <c r="AL12" s="23">
        <f t="shared" si="14"/>
        <v>40000</v>
      </c>
      <c r="AM12" s="23">
        <f t="shared" si="14"/>
        <v>40000</v>
      </c>
      <c r="AN12" s="23">
        <f t="shared" si="14"/>
        <v>40000</v>
      </c>
      <c r="AO12" s="23">
        <f t="shared" si="14"/>
        <v>40000</v>
      </c>
      <c r="AP12" s="23">
        <f t="shared" si="14"/>
        <v>40000</v>
      </c>
      <c r="AQ12" s="112">
        <f t="shared" si="14"/>
        <v>40000</v>
      </c>
      <c r="AR12" s="157"/>
      <c r="AS12" s="157"/>
    </row>
    <row r="13" spans="1:45" ht="13.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3.5">
      <c r="A14" s="32" t="s">
        <v>518</v>
      </c>
      <c r="B14" s="26"/>
      <c r="C14" s="23">
        <f>C273</f>
        <v>0</v>
      </c>
      <c r="D14" s="23">
        <f>D273</f>
        <v>120000</v>
      </c>
      <c r="E14" s="23">
        <f>E273</f>
        <v>180000</v>
      </c>
      <c r="F14" s="108" t="s">
        <v>453</v>
      </c>
      <c r="H14" s="111">
        <f>C14/12</f>
        <v>0</v>
      </c>
      <c r="I14" s="23">
        <f>$C$14/12</f>
        <v>0</v>
      </c>
      <c r="J14" s="23">
        <f aca="true" t="shared" si="15" ref="J14:S14">$C$14/12</f>
        <v>0</v>
      </c>
      <c r="K14" s="23">
        <f t="shared" si="15"/>
        <v>0</v>
      </c>
      <c r="L14" s="23">
        <f t="shared" si="15"/>
        <v>0</v>
      </c>
      <c r="M14" s="23">
        <f t="shared" si="15"/>
        <v>0</v>
      </c>
      <c r="N14" s="23">
        <f t="shared" si="15"/>
        <v>0</v>
      </c>
      <c r="O14" s="23">
        <f t="shared" si="15"/>
        <v>0</v>
      </c>
      <c r="P14" s="23">
        <f t="shared" si="15"/>
        <v>0</v>
      </c>
      <c r="Q14" s="23">
        <f t="shared" si="15"/>
        <v>0</v>
      </c>
      <c r="R14" s="23">
        <f t="shared" si="15"/>
        <v>0</v>
      </c>
      <c r="S14" s="23">
        <f t="shared" si="15"/>
        <v>0</v>
      </c>
      <c r="T14" s="23">
        <f>$D$14/12</f>
        <v>10000</v>
      </c>
      <c r="U14" s="23">
        <f aca="true" t="shared" si="16" ref="U14:AE14">$D$14/12</f>
        <v>10000</v>
      </c>
      <c r="V14" s="23">
        <f t="shared" si="16"/>
        <v>10000</v>
      </c>
      <c r="W14" s="23">
        <f t="shared" si="16"/>
        <v>10000</v>
      </c>
      <c r="X14" s="23">
        <f t="shared" si="16"/>
        <v>10000</v>
      </c>
      <c r="Y14" s="23">
        <f t="shared" si="16"/>
        <v>10000</v>
      </c>
      <c r="Z14" s="23">
        <f t="shared" si="16"/>
        <v>10000</v>
      </c>
      <c r="AA14" s="23">
        <f t="shared" si="16"/>
        <v>10000</v>
      </c>
      <c r="AB14" s="23">
        <f t="shared" si="16"/>
        <v>10000</v>
      </c>
      <c r="AC14" s="23">
        <f t="shared" si="16"/>
        <v>10000</v>
      </c>
      <c r="AD14" s="23">
        <f t="shared" si="16"/>
        <v>10000</v>
      </c>
      <c r="AE14" s="23">
        <f t="shared" si="16"/>
        <v>10000</v>
      </c>
      <c r="AF14" s="23">
        <f>$E$14/12</f>
        <v>15000</v>
      </c>
      <c r="AG14" s="23">
        <f aca="true" t="shared" si="17" ref="AG14:AQ14">$E$14/12</f>
        <v>15000</v>
      </c>
      <c r="AH14" s="23">
        <f t="shared" si="17"/>
        <v>15000</v>
      </c>
      <c r="AI14" s="23">
        <f t="shared" si="17"/>
        <v>15000</v>
      </c>
      <c r="AJ14" s="23">
        <f t="shared" si="17"/>
        <v>15000</v>
      </c>
      <c r="AK14" s="23">
        <f t="shared" si="17"/>
        <v>15000</v>
      </c>
      <c r="AL14" s="23">
        <f t="shared" si="17"/>
        <v>15000</v>
      </c>
      <c r="AM14" s="23">
        <f t="shared" si="17"/>
        <v>15000</v>
      </c>
      <c r="AN14" s="23">
        <f t="shared" si="17"/>
        <v>15000</v>
      </c>
      <c r="AO14" s="23">
        <f t="shared" si="17"/>
        <v>15000</v>
      </c>
      <c r="AP14" s="23">
        <f t="shared" si="17"/>
        <v>15000</v>
      </c>
      <c r="AQ14" s="112">
        <f t="shared" si="17"/>
        <v>15000</v>
      </c>
      <c r="AR14" s="157"/>
      <c r="AS14" s="157"/>
    </row>
    <row r="15" spans="1:45" ht="13.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3.5">
      <c r="A16" s="32" t="s">
        <v>519</v>
      </c>
      <c r="B16" s="26"/>
      <c r="C16" s="23">
        <v>0</v>
      </c>
      <c r="D16" s="23">
        <v>0</v>
      </c>
      <c r="E16" s="23">
        <v>0</v>
      </c>
      <c r="F16" s="108" t="s">
        <v>185</v>
      </c>
      <c r="H16" s="111">
        <f>C16/12</f>
        <v>0</v>
      </c>
      <c r="I16" s="23">
        <f>$C$16/12</f>
        <v>0</v>
      </c>
      <c r="J16" s="23">
        <f aca="true" t="shared" si="18" ref="J16:S16">$C$16/12</f>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$D$16/12</f>
        <v>0</v>
      </c>
      <c r="U16" s="23">
        <f aca="true" t="shared" si="19" ref="U16:AE16">$D$16/12</f>
        <v>0</v>
      </c>
      <c r="V16" s="23">
        <f t="shared" si="19"/>
        <v>0</v>
      </c>
      <c r="W16" s="23">
        <f t="shared" si="19"/>
        <v>0</v>
      </c>
      <c r="X16" s="23">
        <f t="shared" si="19"/>
        <v>0</v>
      </c>
      <c r="Y16" s="23">
        <f t="shared" si="19"/>
        <v>0</v>
      </c>
      <c r="Z16" s="23">
        <f t="shared" si="19"/>
        <v>0</v>
      </c>
      <c r="AA16" s="23">
        <f t="shared" si="19"/>
        <v>0</v>
      </c>
      <c r="AB16" s="23">
        <f t="shared" si="19"/>
        <v>0</v>
      </c>
      <c r="AC16" s="23">
        <f t="shared" si="19"/>
        <v>0</v>
      </c>
      <c r="AD16" s="23">
        <f t="shared" si="19"/>
        <v>0</v>
      </c>
      <c r="AE16" s="23">
        <f t="shared" si="19"/>
        <v>0</v>
      </c>
      <c r="AF16" s="23">
        <f>$E$16/12</f>
        <v>0</v>
      </c>
      <c r="AG16" s="23">
        <f aca="true" t="shared" si="20" ref="AG16:AQ16">$E$16/12</f>
        <v>0</v>
      </c>
      <c r="AH16" s="23">
        <f t="shared" si="20"/>
        <v>0</v>
      </c>
      <c r="AI16" s="23">
        <f t="shared" si="20"/>
        <v>0</v>
      </c>
      <c r="AJ16" s="23">
        <f t="shared" si="20"/>
        <v>0</v>
      </c>
      <c r="AK16" s="23">
        <f t="shared" si="20"/>
        <v>0</v>
      </c>
      <c r="AL16" s="23">
        <f t="shared" si="20"/>
        <v>0</v>
      </c>
      <c r="AM16" s="23">
        <f t="shared" si="20"/>
        <v>0</v>
      </c>
      <c r="AN16" s="23">
        <f t="shared" si="20"/>
        <v>0</v>
      </c>
      <c r="AO16" s="23">
        <f t="shared" si="20"/>
        <v>0</v>
      </c>
      <c r="AP16" s="23">
        <f t="shared" si="20"/>
        <v>0</v>
      </c>
      <c r="AQ16" s="112">
        <f t="shared" si="20"/>
        <v>0</v>
      </c>
    </row>
    <row r="17" spans="1:43" ht="13.5">
      <c r="A17" s="32"/>
      <c r="B17" s="26"/>
      <c r="C17" s="37"/>
      <c r="D17" s="47"/>
      <c r="E17" s="47"/>
      <c r="F17" s="108"/>
      <c r="H17" s="154"/>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155"/>
    </row>
    <row r="18" spans="1:45" ht="13.5">
      <c r="A18" s="32" t="s">
        <v>520</v>
      </c>
      <c r="B18" s="26"/>
      <c r="C18" s="23">
        <v>0</v>
      </c>
      <c r="D18" s="23">
        <v>0</v>
      </c>
      <c r="E18" s="23">
        <v>0</v>
      </c>
      <c r="F18" s="108" t="s">
        <v>185</v>
      </c>
      <c r="H18" s="111">
        <f>C18/12</f>
        <v>0</v>
      </c>
      <c r="I18" s="23">
        <f>$C$18/12</f>
        <v>0</v>
      </c>
      <c r="J18" s="23">
        <f aca="true" t="shared" si="21" ref="J18:S18">$C$18/12</f>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$D$18/12</f>
        <v>0</v>
      </c>
      <c r="U18" s="23">
        <f aca="true" t="shared" si="22" ref="U18:AE18">$D$18/12</f>
        <v>0</v>
      </c>
      <c r="V18" s="23">
        <f t="shared" si="22"/>
        <v>0</v>
      </c>
      <c r="W18" s="23">
        <f t="shared" si="22"/>
        <v>0</v>
      </c>
      <c r="X18" s="23">
        <f t="shared" si="22"/>
        <v>0</v>
      </c>
      <c r="Y18" s="23">
        <f t="shared" si="22"/>
        <v>0</v>
      </c>
      <c r="Z18" s="23">
        <f t="shared" si="22"/>
        <v>0</v>
      </c>
      <c r="AA18" s="23">
        <f t="shared" si="22"/>
        <v>0</v>
      </c>
      <c r="AB18" s="23">
        <f t="shared" si="22"/>
        <v>0</v>
      </c>
      <c r="AC18" s="23">
        <f t="shared" si="22"/>
        <v>0</v>
      </c>
      <c r="AD18" s="23">
        <f t="shared" si="22"/>
        <v>0</v>
      </c>
      <c r="AE18" s="23">
        <f t="shared" si="22"/>
        <v>0</v>
      </c>
      <c r="AF18" s="23">
        <f>$E$18/12</f>
        <v>0</v>
      </c>
      <c r="AG18" s="23">
        <f aca="true" t="shared" si="23" ref="AG18:AQ18">$E$18/12</f>
        <v>0</v>
      </c>
      <c r="AH18" s="23">
        <f t="shared" si="23"/>
        <v>0</v>
      </c>
      <c r="AI18" s="23">
        <f t="shared" si="23"/>
        <v>0</v>
      </c>
      <c r="AJ18" s="23">
        <f t="shared" si="23"/>
        <v>0</v>
      </c>
      <c r="AK18" s="23">
        <f t="shared" si="23"/>
        <v>0</v>
      </c>
      <c r="AL18" s="23">
        <f t="shared" si="23"/>
        <v>0</v>
      </c>
      <c r="AM18" s="23">
        <f t="shared" si="23"/>
        <v>0</v>
      </c>
      <c r="AN18" s="23">
        <f t="shared" si="23"/>
        <v>0</v>
      </c>
      <c r="AO18" s="23">
        <f t="shared" si="23"/>
        <v>0</v>
      </c>
      <c r="AP18" s="23">
        <f t="shared" si="23"/>
        <v>0</v>
      </c>
      <c r="AQ18" s="112">
        <f t="shared" si="23"/>
        <v>0</v>
      </c>
      <c r="AR18" s="157"/>
      <c r="AS18" s="157"/>
    </row>
    <row r="19" spans="1:45" ht="13.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3" s="138" customFormat="1" ht="15" thickBot="1">
      <c r="A20" s="159"/>
      <c r="B20" s="160"/>
      <c r="F20" s="161"/>
      <c r="H20" s="159"/>
      <c r="AQ20" s="161"/>
    </row>
    <row r="21" spans="1:43" ht="13.5">
      <c r="A21" s="32"/>
      <c r="B21" s="26"/>
      <c r="C21" s="26"/>
      <c r="D21" s="26"/>
      <c r="E21" s="26"/>
      <c r="F21" s="108"/>
      <c r="H21" s="11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112"/>
    </row>
    <row r="22" spans="1:43" ht="13.5">
      <c r="A22" s="162" t="s">
        <v>455</v>
      </c>
      <c r="B22" s="26"/>
      <c r="C22" s="23">
        <f>SUM(C4:C19)</f>
        <v>1916658</v>
      </c>
      <c r="D22" s="23">
        <f>SUM(D4:D19)</f>
        <v>2844872</v>
      </c>
      <c r="E22" s="23">
        <f>SUM(E4:E19)</f>
        <v>3482708</v>
      </c>
      <c r="F22" s="108"/>
      <c r="H22" s="111">
        <f>SUM(H4:H19)</f>
        <v>0</v>
      </c>
      <c r="I22" s="23">
        <f>SUM(I4:I19)</f>
        <v>0</v>
      </c>
      <c r="J22" s="23">
        <f aca="true" t="shared" si="24" ref="J22:AQ22">SUM(J4:J19)</f>
        <v>0</v>
      </c>
      <c r="K22" s="23">
        <f t="shared" si="24"/>
        <v>212962</v>
      </c>
      <c r="L22" s="23">
        <f t="shared" si="24"/>
        <v>212962</v>
      </c>
      <c r="M22" s="23">
        <f t="shared" si="24"/>
        <v>212962</v>
      </c>
      <c r="N22" s="23">
        <f t="shared" si="24"/>
        <v>212962</v>
      </c>
      <c r="O22" s="23">
        <f t="shared" si="24"/>
        <v>212962</v>
      </c>
      <c r="P22" s="23">
        <f t="shared" si="24"/>
        <v>212962</v>
      </c>
      <c r="Q22" s="23">
        <f t="shared" si="24"/>
        <v>212962</v>
      </c>
      <c r="R22" s="23">
        <f t="shared" si="24"/>
        <v>212962</v>
      </c>
      <c r="S22" s="23">
        <f t="shared" si="24"/>
        <v>212962</v>
      </c>
      <c r="T22" s="23">
        <f t="shared" si="24"/>
        <v>237072.6666666667</v>
      </c>
      <c r="U22" s="23">
        <f t="shared" si="24"/>
        <v>237072.6666666667</v>
      </c>
      <c r="V22" s="23">
        <f t="shared" si="24"/>
        <v>237072.6666666667</v>
      </c>
      <c r="W22" s="23">
        <f t="shared" si="24"/>
        <v>237072.6666666667</v>
      </c>
      <c r="X22" s="23">
        <f t="shared" si="24"/>
        <v>237072.6666666667</v>
      </c>
      <c r="Y22" s="23">
        <f t="shared" si="24"/>
        <v>237072.6666666667</v>
      </c>
      <c r="Z22" s="23">
        <f t="shared" si="24"/>
        <v>237072.6666666667</v>
      </c>
      <c r="AA22" s="23">
        <f t="shared" si="24"/>
        <v>237072.6666666667</v>
      </c>
      <c r="AB22" s="23">
        <f t="shared" si="24"/>
        <v>237072.6666666667</v>
      </c>
      <c r="AC22" s="23">
        <f t="shared" si="24"/>
        <v>237072.6666666667</v>
      </c>
      <c r="AD22" s="23">
        <f t="shared" si="24"/>
        <v>237072.6666666667</v>
      </c>
      <c r="AE22" s="23">
        <f t="shared" si="24"/>
        <v>237072.6666666667</v>
      </c>
      <c r="AF22" s="23">
        <f t="shared" si="24"/>
        <v>290225.6666666667</v>
      </c>
      <c r="AG22" s="23">
        <f t="shared" si="24"/>
        <v>290225.6666666667</v>
      </c>
      <c r="AH22" s="23">
        <f t="shared" si="24"/>
        <v>290225.6666666667</v>
      </c>
      <c r="AI22" s="23">
        <f t="shared" si="24"/>
        <v>290225.6666666667</v>
      </c>
      <c r="AJ22" s="23">
        <f t="shared" si="24"/>
        <v>290225.6666666667</v>
      </c>
      <c r="AK22" s="23">
        <f t="shared" si="24"/>
        <v>290225.6666666667</v>
      </c>
      <c r="AL22" s="23">
        <f t="shared" si="24"/>
        <v>290225.6666666667</v>
      </c>
      <c r="AM22" s="23">
        <f t="shared" si="24"/>
        <v>290225.6666666667</v>
      </c>
      <c r="AN22" s="23">
        <f t="shared" si="24"/>
        <v>290225.6666666667</v>
      </c>
      <c r="AO22" s="23">
        <f t="shared" si="24"/>
        <v>290225.6666666667</v>
      </c>
      <c r="AP22" s="23">
        <f t="shared" si="24"/>
        <v>290225.6666666667</v>
      </c>
      <c r="AQ22" s="112">
        <f t="shared" si="24"/>
        <v>290225.6666666667</v>
      </c>
    </row>
    <row r="23" spans="1:43" ht="15" thickBot="1">
      <c r="A23" s="159"/>
      <c r="B23" s="138"/>
      <c r="C23" s="138"/>
      <c r="D23" s="138"/>
      <c r="E23" s="138"/>
      <c r="F23" s="161"/>
      <c r="H23" s="159"/>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61"/>
    </row>
    <row r="24" spans="1:43" ht="13.5">
      <c r="A24" s="26"/>
      <c r="B24" s="26"/>
      <c r="C24" s="26"/>
      <c r="D24" s="26"/>
      <c r="E24" s="26"/>
      <c r="F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row>
    <row r="25" spans="1:43" ht="15" thickBot="1">
      <c r="A25" s="26"/>
      <c r="B25" s="26"/>
      <c r="C25" s="26"/>
      <c r="D25" s="26"/>
      <c r="E25" s="26"/>
      <c r="F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row>
    <row r="26" spans="3:4" ht="15" thickBot="1">
      <c r="C26" s="128"/>
      <c r="D26" s="25" t="s">
        <v>522</v>
      </c>
    </row>
    <row r="27" ht="15" thickBot="1"/>
    <row r="28" spans="1:5" ht="13.5" customHeight="1">
      <c r="A28" s="70" t="s">
        <v>76</v>
      </c>
      <c r="B28" s="71"/>
      <c r="C28" s="71"/>
      <c r="D28" s="71"/>
      <c r="E28" s="330"/>
    </row>
    <row r="29" spans="1:5" ht="13.5">
      <c r="A29" s="16"/>
      <c r="B29" s="48"/>
      <c r="C29" s="55" t="s">
        <v>196</v>
      </c>
      <c r="D29" s="55" t="s">
        <v>197</v>
      </c>
      <c r="E29" s="130" t="s">
        <v>198</v>
      </c>
    </row>
    <row r="30" spans="1:6" ht="13.5">
      <c r="A30" s="16"/>
      <c r="B30" s="48" t="s">
        <v>399</v>
      </c>
      <c r="C30" s="86">
        <v>300000</v>
      </c>
      <c r="D30" s="86">
        <v>300000</v>
      </c>
      <c r="E30" s="87">
        <v>300000</v>
      </c>
      <c r="F30" s="167"/>
    </row>
    <row r="31" spans="1:5" ht="15" thickBot="1">
      <c r="A31" s="196"/>
      <c r="B31" s="138"/>
      <c r="C31" s="138"/>
      <c r="D31" s="138"/>
      <c r="E31" s="161"/>
    </row>
    <row r="34" spans="1:2" ht="13.5">
      <c r="A34" s="197" t="s">
        <v>1</v>
      </c>
      <c r="B34" s="167"/>
    </row>
    <row r="35" spans="1:2" ht="13.5">
      <c r="A35" s="171"/>
      <c r="B35" s="25" t="s">
        <v>403</v>
      </c>
    </row>
    <row r="36" spans="1:2" ht="13.5">
      <c r="A36" s="171"/>
      <c r="B36" s="25" t="s">
        <v>460</v>
      </c>
    </row>
    <row r="37" spans="1:2" ht="13.5">
      <c r="A37" s="171"/>
      <c r="B37" s="164" t="s">
        <v>547</v>
      </c>
    </row>
    <row r="38" ht="13.5">
      <c r="B38" s="164" t="s">
        <v>548</v>
      </c>
    </row>
    <row r="39" ht="13.5">
      <c r="B39" s="164" t="s">
        <v>549</v>
      </c>
    </row>
    <row r="40" ht="13.5">
      <c r="B40" s="164" t="s">
        <v>2</v>
      </c>
    </row>
    <row r="41" ht="15" thickBot="1">
      <c r="A41" s="171"/>
    </row>
    <row r="42" spans="1:8" ht="13.5">
      <c r="A42" s="70" t="s">
        <v>408</v>
      </c>
      <c r="B42" s="71"/>
      <c r="C42" s="71"/>
      <c r="D42" s="71"/>
      <c r="E42" s="330"/>
      <c r="H42" s="48"/>
    </row>
    <row r="43" spans="1:8" ht="13.5">
      <c r="A43" s="16"/>
      <c r="B43" s="48"/>
      <c r="C43" s="55" t="s">
        <v>196</v>
      </c>
      <c r="D43" s="55" t="s">
        <v>197</v>
      </c>
      <c r="E43" s="130" t="s">
        <v>198</v>
      </c>
      <c r="H43" s="48"/>
    </row>
    <row r="44" spans="1:8" ht="13.5">
      <c r="A44" s="16"/>
      <c r="B44" s="48" t="s">
        <v>463</v>
      </c>
      <c r="C44" s="331">
        <v>6</v>
      </c>
      <c r="D44" s="331">
        <v>3</v>
      </c>
      <c r="E44" s="332">
        <v>3</v>
      </c>
      <c r="H44" s="48"/>
    </row>
    <row r="45" spans="1:8" ht="13.5">
      <c r="A45" s="16"/>
      <c r="B45" s="48" t="s">
        <v>464</v>
      </c>
      <c r="C45" s="331"/>
      <c r="D45" s="331">
        <v>5</v>
      </c>
      <c r="E45" s="332">
        <v>6</v>
      </c>
      <c r="H45" s="48"/>
    </row>
    <row r="46" spans="1:8" ht="13.5">
      <c r="A46" s="16"/>
      <c r="B46" s="48" t="s">
        <v>465</v>
      </c>
      <c r="C46" s="55">
        <f>SUM(C44:C45)</f>
        <v>6</v>
      </c>
      <c r="D46" s="55">
        <f>SUM(D44:D45)</f>
        <v>8</v>
      </c>
      <c r="E46" s="130">
        <f>SUM(E44:E45)</f>
        <v>9</v>
      </c>
      <c r="H46" s="48"/>
    </row>
    <row r="47" spans="1:8" ht="13.5">
      <c r="A47" s="16"/>
      <c r="B47" s="48" t="s">
        <v>466</v>
      </c>
      <c r="C47" s="331">
        <v>200</v>
      </c>
      <c r="D47" s="331">
        <v>200</v>
      </c>
      <c r="E47" s="332">
        <v>200</v>
      </c>
      <c r="H47" s="48"/>
    </row>
    <row r="48" spans="1:8" ht="13.5">
      <c r="A48" s="16"/>
      <c r="B48" s="48"/>
      <c r="C48" s="55"/>
      <c r="D48" s="55"/>
      <c r="E48" s="130"/>
      <c r="H48" s="48"/>
    </row>
    <row r="49" spans="1:8" ht="13.5">
      <c r="A49" s="16"/>
      <c r="B49" s="48"/>
      <c r="C49" s="55"/>
      <c r="D49" s="55"/>
      <c r="E49" s="130"/>
      <c r="H49" s="48"/>
    </row>
    <row r="50" spans="1:8" ht="13.5">
      <c r="A50" s="16"/>
      <c r="B50" s="48" t="s">
        <v>399</v>
      </c>
      <c r="C50" s="173">
        <f>C30</f>
        <v>300000</v>
      </c>
      <c r="D50" s="173">
        <f>D30</f>
        <v>300000</v>
      </c>
      <c r="E50" s="174">
        <f>E30</f>
        <v>300000</v>
      </c>
      <c r="H50" s="48"/>
    </row>
    <row r="51" spans="1:8" ht="13.5">
      <c r="A51" s="16"/>
      <c r="B51" s="26" t="s">
        <v>3</v>
      </c>
      <c r="C51" s="333">
        <v>0.005</v>
      </c>
      <c r="D51" s="333">
        <v>0.005</v>
      </c>
      <c r="E51" s="334">
        <v>0.005</v>
      </c>
      <c r="H51" s="17"/>
    </row>
    <row r="52" spans="1:8" ht="13.5">
      <c r="A52" s="16"/>
      <c r="B52" s="165" t="s">
        <v>4</v>
      </c>
      <c r="C52" s="173">
        <f>C50*C51</f>
        <v>1500</v>
      </c>
      <c r="D52" s="173">
        <f>D50*D51</f>
        <v>1500</v>
      </c>
      <c r="E52" s="174">
        <f>E50*E51</f>
        <v>1500</v>
      </c>
      <c r="H52" s="17"/>
    </row>
    <row r="53" spans="1:8" ht="13.5">
      <c r="A53" s="16"/>
      <c r="B53" s="48"/>
      <c r="C53" s="26"/>
      <c r="D53" s="26"/>
      <c r="E53" s="130"/>
      <c r="H53" s="17"/>
    </row>
    <row r="54" spans="1:8" ht="13.5">
      <c r="A54" s="16"/>
      <c r="B54" s="26" t="s">
        <v>470</v>
      </c>
      <c r="C54" s="76">
        <v>0.6</v>
      </c>
      <c r="D54" s="76">
        <v>0.6</v>
      </c>
      <c r="E54" s="69">
        <v>0.6</v>
      </c>
      <c r="F54" s="175"/>
      <c r="H54" s="165"/>
    </row>
    <row r="55" spans="1:8" ht="13.5">
      <c r="A55" s="16"/>
      <c r="B55" s="165" t="s">
        <v>469</v>
      </c>
      <c r="C55" s="76">
        <v>0.3</v>
      </c>
      <c r="D55" s="76">
        <v>0.3</v>
      </c>
      <c r="E55" s="69">
        <v>0.3</v>
      </c>
      <c r="H55" s="17"/>
    </row>
    <row r="56" spans="1:8" ht="13.5">
      <c r="A56" s="16"/>
      <c r="B56" s="165" t="s">
        <v>550</v>
      </c>
      <c r="C56" s="76">
        <v>0.1</v>
      </c>
      <c r="D56" s="76">
        <v>0.1</v>
      </c>
      <c r="E56" s="69">
        <v>0.1</v>
      </c>
      <c r="F56" s="175"/>
      <c r="H56" s="17"/>
    </row>
    <row r="57" spans="1:8" ht="13.5">
      <c r="A57" s="16"/>
      <c r="B57" s="26"/>
      <c r="C57" s="23"/>
      <c r="D57" s="23"/>
      <c r="E57" s="112"/>
      <c r="H57" s="17"/>
    </row>
    <row r="58" spans="1:8" ht="13.5">
      <c r="A58" s="16"/>
      <c r="B58" s="48" t="s">
        <v>472</v>
      </c>
      <c r="C58" s="74">
        <v>0.2</v>
      </c>
      <c r="D58" s="74">
        <v>0.2</v>
      </c>
      <c r="E58" s="75">
        <v>0.2</v>
      </c>
      <c r="H58" s="17"/>
    </row>
    <row r="59" spans="1:8" ht="13.5">
      <c r="A59" s="16"/>
      <c r="B59" s="165" t="s">
        <v>471</v>
      </c>
      <c r="C59" s="74">
        <v>0.6</v>
      </c>
      <c r="D59" s="74">
        <v>0.6</v>
      </c>
      <c r="E59" s="75">
        <v>0.6</v>
      </c>
      <c r="H59" s="17"/>
    </row>
    <row r="60" spans="1:8" ht="13.5">
      <c r="A60" s="16"/>
      <c r="B60" s="48" t="s">
        <v>551</v>
      </c>
      <c r="C60" s="74">
        <v>20</v>
      </c>
      <c r="D60" s="74">
        <v>20</v>
      </c>
      <c r="E60" s="75">
        <v>20</v>
      </c>
      <c r="H60" s="17"/>
    </row>
    <row r="61" spans="1:8" ht="13.5">
      <c r="A61" s="16"/>
      <c r="B61" s="48"/>
      <c r="C61" s="17"/>
      <c r="D61" s="17"/>
      <c r="E61" s="18"/>
      <c r="H61" s="17"/>
    </row>
    <row r="62" spans="1:8" ht="13.5">
      <c r="A62" s="16"/>
      <c r="B62" s="48" t="s">
        <v>5</v>
      </c>
      <c r="C62" s="331">
        <v>1</v>
      </c>
      <c r="D62" s="331">
        <v>1</v>
      </c>
      <c r="E62" s="332">
        <v>1</v>
      </c>
      <c r="F62" s="48"/>
      <c r="H62" s="17"/>
    </row>
    <row r="63" spans="1:8" ht="13.5">
      <c r="A63" s="16"/>
      <c r="B63" s="48" t="s">
        <v>6</v>
      </c>
      <c r="C63" s="86">
        <v>10000</v>
      </c>
      <c r="D63" s="86">
        <v>10000</v>
      </c>
      <c r="E63" s="87">
        <v>10000</v>
      </c>
      <c r="F63" s="48"/>
      <c r="H63" s="17"/>
    </row>
    <row r="64" spans="1:8" ht="13.5">
      <c r="A64" s="16"/>
      <c r="B64" s="48" t="s">
        <v>7</v>
      </c>
      <c r="C64" s="76">
        <v>0.3</v>
      </c>
      <c r="D64" s="76">
        <v>0.3</v>
      </c>
      <c r="E64" s="69">
        <v>0.3</v>
      </c>
      <c r="F64" s="48"/>
      <c r="H64" s="17"/>
    </row>
    <row r="65" spans="1:8" ht="13.5">
      <c r="A65" s="16"/>
      <c r="B65" s="48"/>
      <c r="C65" s="17"/>
      <c r="D65" s="17"/>
      <c r="E65" s="18"/>
      <c r="F65" s="48"/>
      <c r="H65" s="17"/>
    </row>
    <row r="66" spans="1:8" ht="13.5">
      <c r="A66" s="16"/>
      <c r="B66" s="48" t="s">
        <v>8</v>
      </c>
      <c r="C66" s="84">
        <v>125</v>
      </c>
      <c r="D66" s="84">
        <v>125</v>
      </c>
      <c r="E66" s="85">
        <v>125</v>
      </c>
      <c r="F66" s="48"/>
      <c r="H66" s="17"/>
    </row>
    <row r="67" spans="1:8" ht="13.5">
      <c r="A67" s="16"/>
      <c r="B67" s="48"/>
      <c r="C67" s="17"/>
      <c r="D67" s="17"/>
      <c r="E67" s="18"/>
      <c r="F67" s="48"/>
      <c r="H67" s="17"/>
    </row>
    <row r="68" spans="1:8" ht="13.5">
      <c r="A68" s="16"/>
      <c r="B68" s="48" t="s">
        <v>9</v>
      </c>
      <c r="C68" s="86">
        <v>52</v>
      </c>
      <c r="D68" s="86">
        <v>52</v>
      </c>
      <c r="E68" s="87">
        <v>52</v>
      </c>
      <c r="F68" s="48"/>
      <c r="H68" s="17"/>
    </row>
    <row r="69" spans="1:8" ht="13.5">
      <c r="A69" s="16"/>
      <c r="B69" s="48" t="s">
        <v>10</v>
      </c>
      <c r="C69" s="76">
        <v>0.2</v>
      </c>
      <c r="D69" s="76">
        <v>0.2</v>
      </c>
      <c r="E69" s="69">
        <v>0.2</v>
      </c>
      <c r="F69" s="48"/>
      <c r="H69" s="17"/>
    </row>
    <row r="70" spans="1:8" ht="13.5">
      <c r="A70" s="16"/>
      <c r="B70" s="48" t="s">
        <v>579</v>
      </c>
      <c r="C70" s="84">
        <v>1000</v>
      </c>
      <c r="D70" s="84">
        <v>1000</v>
      </c>
      <c r="E70" s="85">
        <v>1000</v>
      </c>
      <c r="F70" s="48"/>
      <c r="H70" s="17"/>
    </row>
    <row r="71" spans="1:8" ht="13.5">
      <c r="A71" s="16"/>
      <c r="B71" s="48"/>
      <c r="C71" s="17"/>
      <c r="D71" s="17"/>
      <c r="E71" s="18"/>
      <c r="F71" s="48"/>
      <c r="H71" s="17"/>
    </row>
    <row r="72" spans="1:6" ht="15" thickBot="1">
      <c r="A72" s="19"/>
      <c r="B72" s="20"/>
      <c r="C72" s="20"/>
      <c r="D72" s="20"/>
      <c r="E72" s="21"/>
      <c r="F72" s="17"/>
    </row>
    <row r="73" spans="1:6" ht="13.5">
      <c r="A73" s="171"/>
      <c r="F73" s="17"/>
    </row>
    <row r="74" spans="3:5" ht="13.5">
      <c r="C74" s="169" t="s">
        <v>196</v>
      </c>
      <c r="D74" s="169" t="s">
        <v>197</v>
      </c>
      <c r="E74" s="169" t="s">
        <v>198</v>
      </c>
    </row>
    <row r="76" spans="1:43" ht="13.5">
      <c r="A76" s="25" t="s">
        <v>514</v>
      </c>
      <c r="C76" s="136">
        <f>C77+C78</f>
        <v>928400</v>
      </c>
      <c r="D76" s="136">
        <f>D77+D78</f>
        <v>1108400</v>
      </c>
      <c r="E76" s="136">
        <f>E77+E78</f>
        <v>1198400</v>
      </c>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row>
    <row r="77" spans="2:43" ht="13.5">
      <c r="B77" s="25" t="s">
        <v>11</v>
      </c>
      <c r="C77" s="23">
        <f>((C50*C51)*C54*C46*C47*C58)+((C50*C51)*C55*C46*C47*C59)+((C50*C51)*C56*C60)</f>
        <v>543000</v>
      </c>
      <c r="D77" s="23">
        <f>((D50*D51)*D54*D46*D47*D58)+((D50*D51)*D55*D46*D47*D59)+((D50*D51)*D56*D60)</f>
        <v>723000</v>
      </c>
      <c r="E77" s="23">
        <f>((E50*E51)*E54*E46*E47*E58)+((E50*E51)*E55*E46*E47*E59)+((E50*E51)*E56*E60)</f>
        <v>813000</v>
      </c>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row>
    <row r="78" spans="2:43" ht="13.5">
      <c r="B78" s="25" t="s">
        <v>12</v>
      </c>
      <c r="C78" s="23">
        <f>((C62*C63*C64)*C66)+(C68*C69*C70)</f>
        <v>385400</v>
      </c>
      <c r="D78" s="23">
        <f>((D62*D63*D64)*D66)+(D68*D69*D70)</f>
        <v>385400</v>
      </c>
      <c r="E78" s="23">
        <f>((E62*E63*E64)*E66)+(E68*E69*E70)</f>
        <v>385400</v>
      </c>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row>
    <row r="81" spans="3:43" ht="13.5">
      <c r="C81" s="172"/>
      <c r="D81" s="172"/>
      <c r="E81" s="172"/>
      <c r="I81" s="170"/>
      <c r="J81" s="170"/>
      <c r="K81" s="170"/>
      <c r="L81" s="170"/>
      <c r="M81" s="170"/>
      <c r="N81" s="170"/>
      <c r="O81" s="170"/>
      <c r="P81" s="170"/>
      <c r="Q81" s="170"/>
      <c r="R81" s="170"/>
      <c r="S81" s="170"/>
      <c r="T81" s="170"/>
      <c r="U81" s="170"/>
      <c r="V81" s="170"/>
      <c r="W81" s="170"/>
      <c r="X81" s="170"/>
      <c r="Y81" s="170"/>
      <c r="Z81" s="170"/>
      <c r="AA81" s="170"/>
      <c r="AB81" s="170"/>
      <c r="AC81" s="170"/>
      <c r="AD81" s="170"/>
      <c r="AE81" s="170"/>
      <c r="AF81" s="170"/>
      <c r="AG81" s="170"/>
      <c r="AH81" s="170"/>
      <c r="AI81" s="170"/>
      <c r="AJ81" s="170"/>
      <c r="AK81" s="170"/>
      <c r="AL81" s="170"/>
      <c r="AM81" s="170"/>
      <c r="AN81" s="170"/>
      <c r="AO81" s="170"/>
      <c r="AP81" s="170"/>
      <c r="AQ81" s="170"/>
    </row>
    <row r="82" spans="1:2" ht="13.5">
      <c r="A82" s="197" t="s">
        <v>13</v>
      </c>
      <c r="B82" s="167"/>
    </row>
    <row r="83" spans="1:2" ht="13.5">
      <c r="A83" s="99"/>
      <c r="B83" s="25" t="s">
        <v>14</v>
      </c>
    </row>
    <row r="84" spans="1:2" ht="13.5">
      <c r="A84" s="99"/>
      <c r="B84" s="164" t="s">
        <v>15</v>
      </c>
    </row>
    <row r="85" spans="1:2" ht="13.5">
      <c r="A85" s="99"/>
      <c r="B85" s="164" t="s">
        <v>16</v>
      </c>
    </row>
    <row r="86" spans="1:2" ht="13.5">
      <c r="A86" s="99"/>
      <c r="B86" s="164" t="s">
        <v>17</v>
      </c>
    </row>
    <row r="87" ht="15" thickBot="1"/>
    <row r="88" spans="1:5" ht="13.5">
      <c r="A88" s="70" t="s">
        <v>408</v>
      </c>
      <c r="B88" s="71"/>
      <c r="C88" s="71"/>
      <c r="D88" s="71"/>
      <c r="E88" s="330"/>
    </row>
    <row r="89" spans="1:5" ht="13.5">
      <c r="A89" s="16"/>
      <c r="B89" s="48"/>
      <c r="C89" s="55" t="s">
        <v>196</v>
      </c>
      <c r="D89" s="55" t="s">
        <v>197</v>
      </c>
      <c r="E89" s="130" t="s">
        <v>198</v>
      </c>
    </row>
    <row r="90" spans="1:5" ht="13.5">
      <c r="A90" s="16"/>
      <c r="B90" s="48"/>
      <c r="C90" s="55"/>
      <c r="D90" s="55"/>
      <c r="E90" s="130"/>
    </row>
    <row r="91" spans="1:8" ht="13.5">
      <c r="A91" s="16"/>
      <c r="B91" s="17" t="s">
        <v>399</v>
      </c>
      <c r="C91" s="173">
        <f>C30</f>
        <v>300000</v>
      </c>
      <c r="D91" s="173">
        <f>D30</f>
        <v>300000</v>
      </c>
      <c r="E91" s="174">
        <f>E30</f>
        <v>300000</v>
      </c>
      <c r="H91" s="48"/>
    </row>
    <row r="92" spans="1:8" ht="13.5">
      <c r="A92" s="16"/>
      <c r="B92" s="17" t="s">
        <v>18</v>
      </c>
      <c r="C92" s="76">
        <v>0.05</v>
      </c>
      <c r="D92" s="76">
        <v>0.05</v>
      </c>
      <c r="E92" s="69">
        <v>0.05</v>
      </c>
      <c r="H92" s="26"/>
    </row>
    <row r="93" spans="1:8" ht="13.5">
      <c r="A93" s="16"/>
      <c r="B93" s="17" t="s">
        <v>19</v>
      </c>
      <c r="C93" s="76">
        <v>0.04</v>
      </c>
      <c r="D93" s="76">
        <v>0.04</v>
      </c>
      <c r="E93" s="69">
        <v>0.04</v>
      </c>
      <c r="H93" s="48"/>
    </row>
    <row r="94" spans="1:8" ht="13.5">
      <c r="A94" s="16"/>
      <c r="B94" s="17" t="s">
        <v>20</v>
      </c>
      <c r="C94" s="173">
        <f>C91*C92*C93</f>
        <v>600</v>
      </c>
      <c r="D94" s="173">
        <f>D91*D92*D93</f>
        <v>600</v>
      </c>
      <c r="E94" s="174">
        <f>E91*E92*E93</f>
        <v>600</v>
      </c>
      <c r="H94" s="48"/>
    </row>
    <row r="95" spans="1:8" ht="13.5">
      <c r="A95" s="16"/>
      <c r="B95" s="17"/>
      <c r="C95" s="173"/>
      <c r="D95" s="173"/>
      <c r="E95" s="174"/>
      <c r="H95" s="48"/>
    </row>
    <row r="96" spans="1:8" ht="13.5">
      <c r="A96" s="16"/>
      <c r="B96" s="17" t="s">
        <v>21</v>
      </c>
      <c r="C96" s="76">
        <v>0.03</v>
      </c>
      <c r="D96" s="76">
        <v>0.03</v>
      </c>
      <c r="E96" s="69">
        <v>0.03</v>
      </c>
      <c r="H96" s="48"/>
    </row>
    <row r="97" spans="1:8" ht="13.5">
      <c r="A97" s="16"/>
      <c r="B97" s="17" t="s">
        <v>22</v>
      </c>
      <c r="C97" s="173">
        <f>C91*C92*C96</f>
        <v>450</v>
      </c>
      <c r="D97" s="173">
        <f>D91*D92*D96</f>
        <v>450</v>
      </c>
      <c r="E97" s="174">
        <f>E91*E92*E96</f>
        <v>450</v>
      </c>
      <c r="H97" s="48"/>
    </row>
    <row r="98" spans="1:8" ht="13.5">
      <c r="A98" s="16"/>
      <c r="B98" s="17"/>
      <c r="C98" s="173"/>
      <c r="D98" s="173"/>
      <c r="E98" s="174"/>
      <c r="H98" s="48"/>
    </row>
    <row r="99" spans="1:8" ht="13.5">
      <c r="A99" s="16"/>
      <c r="B99" s="17" t="s">
        <v>23</v>
      </c>
      <c r="C99" s="82">
        <v>0.001</v>
      </c>
      <c r="D99" s="82">
        <v>0.001</v>
      </c>
      <c r="E99" s="334">
        <v>0.001</v>
      </c>
      <c r="H99" s="26"/>
    </row>
    <row r="100" spans="1:8" ht="13.5">
      <c r="A100" s="16"/>
      <c r="B100" s="17" t="s">
        <v>212</v>
      </c>
      <c r="C100" s="173">
        <f>C91*C92*C99</f>
        <v>15</v>
      </c>
      <c r="D100" s="173">
        <f>D91*D92*D99</f>
        <v>15</v>
      </c>
      <c r="E100" s="174">
        <f>E91*E92*E99</f>
        <v>15</v>
      </c>
      <c r="H100" s="26"/>
    </row>
    <row r="101" spans="1:8" ht="13.5">
      <c r="A101" s="16"/>
      <c r="B101" s="17"/>
      <c r="C101" s="17"/>
      <c r="D101" s="17"/>
      <c r="E101" s="18"/>
      <c r="H101" s="26"/>
    </row>
    <row r="102" spans="1:8" ht="13.5">
      <c r="A102" s="16"/>
      <c r="B102" s="17" t="s">
        <v>588</v>
      </c>
      <c r="C102" s="86">
        <v>3</v>
      </c>
      <c r="D102" s="86">
        <v>4</v>
      </c>
      <c r="E102" s="87">
        <v>5</v>
      </c>
      <c r="H102" s="26"/>
    </row>
    <row r="103" spans="1:8" ht="13.5">
      <c r="A103" s="16"/>
      <c r="B103" s="17"/>
      <c r="C103" s="17"/>
      <c r="D103" s="17"/>
      <c r="E103" s="18"/>
      <c r="H103" s="26"/>
    </row>
    <row r="104" spans="1:8" ht="13.5">
      <c r="A104" s="16"/>
      <c r="B104" s="17" t="s">
        <v>213</v>
      </c>
      <c r="C104" s="84">
        <v>50</v>
      </c>
      <c r="D104" s="84">
        <v>50</v>
      </c>
      <c r="E104" s="85">
        <v>50</v>
      </c>
      <c r="H104" s="165"/>
    </row>
    <row r="105" spans="1:8" ht="13.5">
      <c r="A105" s="16"/>
      <c r="B105" s="17" t="s">
        <v>214</v>
      </c>
      <c r="C105" s="86">
        <v>2</v>
      </c>
      <c r="D105" s="86">
        <v>2</v>
      </c>
      <c r="E105" s="87">
        <v>2</v>
      </c>
      <c r="H105" s="165"/>
    </row>
    <row r="106" spans="1:8" ht="13.5">
      <c r="A106" s="16"/>
      <c r="B106" s="17"/>
      <c r="C106" s="23"/>
      <c r="D106" s="23"/>
      <c r="E106" s="112"/>
      <c r="H106" s="26"/>
    </row>
    <row r="107" spans="1:8" ht="13.5">
      <c r="A107" s="16"/>
      <c r="B107" s="17" t="s">
        <v>215</v>
      </c>
      <c r="C107" s="84">
        <v>400</v>
      </c>
      <c r="D107" s="84">
        <v>400</v>
      </c>
      <c r="E107" s="85">
        <v>400</v>
      </c>
      <c r="H107" s="48"/>
    </row>
    <row r="108" spans="1:8" ht="13.5">
      <c r="A108" s="16"/>
      <c r="B108" s="8" t="s">
        <v>216</v>
      </c>
      <c r="C108" s="84">
        <v>500</v>
      </c>
      <c r="D108" s="84">
        <v>500</v>
      </c>
      <c r="E108" s="85">
        <v>500</v>
      </c>
      <c r="H108" s="26"/>
    </row>
    <row r="109" spans="1:8" ht="13.5">
      <c r="A109" s="16"/>
      <c r="B109" s="17"/>
      <c r="C109" s="17"/>
      <c r="D109" s="11"/>
      <c r="E109" s="166"/>
      <c r="H109" s="26"/>
    </row>
    <row r="110" spans="1:8" ht="15" thickBot="1">
      <c r="A110" s="19"/>
      <c r="B110" s="20"/>
      <c r="C110" s="20"/>
      <c r="D110" s="20"/>
      <c r="E110" s="21"/>
      <c r="H110" s="48"/>
    </row>
    <row r="111" ht="13.5">
      <c r="H111" s="48"/>
    </row>
    <row r="112" spans="3:8" ht="13.5">
      <c r="C112" s="169" t="s">
        <v>196</v>
      </c>
      <c r="D112" s="169" t="s">
        <v>197</v>
      </c>
      <c r="E112" s="169" t="s">
        <v>198</v>
      </c>
      <c r="H112" s="17"/>
    </row>
    <row r="114" spans="1:43" ht="13.5">
      <c r="A114" s="25" t="s">
        <v>183</v>
      </c>
      <c r="C114" s="23">
        <f>C116+C115</f>
        <v>742500</v>
      </c>
      <c r="D114" s="23">
        <f>D116+D115</f>
        <v>990000</v>
      </c>
      <c r="E114" s="23">
        <f>E116+E115</f>
        <v>1237500</v>
      </c>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row>
    <row r="115" spans="2:43" ht="13.5">
      <c r="B115" s="25" t="s">
        <v>217</v>
      </c>
      <c r="C115" s="23">
        <f>((C91*C92*C93)*C104*C105)*C102</f>
        <v>180000</v>
      </c>
      <c r="D115" s="23">
        <f>((D91*D92*D93)*D104*D105)*D102</f>
        <v>240000</v>
      </c>
      <c r="E115" s="23">
        <f>((E91*E92*E93)*E104*E105)*E102</f>
        <v>300000</v>
      </c>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row>
    <row r="116" spans="2:43" ht="13.5">
      <c r="B116" s="25" t="s">
        <v>218</v>
      </c>
      <c r="C116" s="23">
        <f>(((C91*C92*C96)*C107)+((C91*C92*C99)*C108))*C102</f>
        <v>562500</v>
      </c>
      <c r="D116" s="23">
        <f>(((D91*D92*D96)*D107)+((D91*D92*D99)*D108))*D102</f>
        <v>750000</v>
      </c>
      <c r="E116" s="23">
        <f>(((E91*E92*E96)*E107)+((E91*E92*E99)*E108))*E102</f>
        <v>937500</v>
      </c>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row>
    <row r="120" spans="1:2" ht="13.5">
      <c r="A120" s="197" t="s">
        <v>219</v>
      </c>
      <c r="B120" s="167"/>
    </row>
    <row r="121" spans="1:2" ht="13.5">
      <c r="A121" s="99"/>
      <c r="B121" s="25" t="s">
        <v>397</v>
      </c>
    </row>
    <row r="122" spans="1:2" ht="13.5">
      <c r="A122" s="99"/>
      <c r="B122" s="25" t="s">
        <v>186</v>
      </c>
    </row>
    <row r="123" spans="1:2" ht="13.5">
      <c r="A123" s="99"/>
      <c r="B123" s="25" t="s">
        <v>187</v>
      </c>
    </row>
    <row r="124" spans="1:2" ht="13.5">
      <c r="A124" s="99"/>
      <c r="B124" s="164" t="s">
        <v>220</v>
      </c>
    </row>
    <row r="125" ht="15" thickBot="1"/>
    <row r="126" spans="1:5" ht="13.5">
      <c r="A126" s="70" t="s">
        <v>408</v>
      </c>
      <c r="B126" s="71"/>
      <c r="C126" s="71"/>
      <c r="D126" s="71"/>
      <c r="E126" s="330"/>
    </row>
    <row r="127" spans="1:5" ht="13.5">
      <c r="A127" s="16"/>
      <c r="B127" s="48"/>
      <c r="C127" s="55" t="s">
        <v>196</v>
      </c>
      <c r="D127" s="55" t="s">
        <v>197</v>
      </c>
      <c r="E127" s="130" t="s">
        <v>198</v>
      </c>
    </row>
    <row r="128" spans="1:5" ht="13.5">
      <c r="A128" s="24" t="s">
        <v>204</v>
      </c>
      <c r="B128" s="48"/>
      <c r="C128" s="55"/>
      <c r="D128" s="55"/>
      <c r="E128" s="130"/>
    </row>
    <row r="129" spans="1:5" ht="13.5">
      <c r="A129" s="16"/>
      <c r="B129" s="17" t="s">
        <v>399</v>
      </c>
      <c r="C129" s="173">
        <f>C30</f>
        <v>300000</v>
      </c>
      <c r="D129" s="173">
        <f>D30</f>
        <v>300000</v>
      </c>
      <c r="E129" s="174">
        <f>E30</f>
        <v>300000</v>
      </c>
    </row>
    <row r="130" spans="1:5" ht="13.5">
      <c r="A130" s="16"/>
      <c r="B130" s="17" t="s">
        <v>221</v>
      </c>
      <c r="C130" s="82">
        <v>0.0005</v>
      </c>
      <c r="D130" s="82">
        <v>0.0005</v>
      </c>
      <c r="E130" s="83">
        <v>0.0005</v>
      </c>
    </row>
    <row r="131" spans="1:5" ht="13.5">
      <c r="A131" s="16"/>
      <c r="B131" s="17" t="s">
        <v>222</v>
      </c>
      <c r="C131" s="173">
        <f>C129*C130</f>
        <v>150</v>
      </c>
      <c r="D131" s="173">
        <f>D129*D130</f>
        <v>150</v>
      </c>
      <c r="E131" s="174">
        <f>E129*E130</f>
        <v>150</v>
      </c>
    </row>
    <row r="132" spans="1:5" ht="13.5">
      <c r="A132" s="16"/>
      <c r="B132" s="17"/>
      <c r="C132" s="173"/>
      <c r="D132" s="173"/>
      <c r="E132" s="174"/>
    </row>
    <row r="133" spans="1:5" ht="13.5">
      <c r="A133" s="16"/>
      <c r="B133" s="17" t="s">
        <v>223</v>
      </c>
      <c r="C133" s="68">
        <v>0.5</v>
      </c>
      <c r="D133" s="68">
        <v>0.5</v>
      </c>
      <c r="E133" s="69">
        <v>0.5</v>
      </c>
    </row>
    <row r="134" spans="1:5" ht="13.5">
      <c r="A134" s="16"/>
      <c r="B134" s="17" t="s">
        <v>224</v>
      </c>
      <c r="C134" s="173">
        <f>C131*C133</f>
        <v>75</v>
      </c>
      <c r="D134" s="173">
        <f>D131*D133</f>
        <v>75</v>
      </c>
      <c r="E134" s="174">
        <f>E131*E133</f>
        <v>75</v>
      </c>
    </row>
    <row r="135" spans="1:5" ht="13.5">
      <c r="A135" s="16"/>
      <c r="B135" s="17"/>
      <c r="C135" s="173"/>
      <c r="D135" s="173"/>
      <c r="E135" s="174"/>
    </row>
    <row r="136" spans="1:5" ht="13.5">
      <c r="A136" s="16"/>
      <c r="B136" s="17" t="s">
        <v>225</v>
      </c>
      <c r="C136" s="68">
        <v>0.5</v>
      </c>
      <c r="D136" s="68">
        <v>0.5</v>
      </c>
      <c r="E136" s="69">
        <v>0.5</v>
      </c>
    </row>
    <row r="137" spans="1:5" ht="13.5">
      <c r="A137" s="16"/>
      <c r="B137" s="17" t="s">
        <v>226</v>
      </c>
      <c r="C137" s="173">
        <f>C131*C136</f>
        <v>75</v>
      </c>
      <c r="D137" s="173">
        <f>D131*D136</f>
        <v>75</v>
      </c>
      <c r="E137" s="174">
        <f>E131*E136</f>
        <v>75</v>
      </c>
    </row>
    <row r="138" spans="1:5" ht="13.5">
      <c r="A138" s="16"/>
      <c r="B138" s="17"/>
      <c r="C138" s="17"/>
      <c r="D138" s="11"/>
      <c r="E138" s="166"/>
    </row>
    <row r="139" spans="1:5" ht="13.5">
      <c r="A139" s="16"/>
      <c r="B139" s="17" t="s">
        <v>227</v>
      </c>
      <c r="C139" s="76">
        <v>0.01</v>
      </c>
      <c r="D139" s="76">
        <v>0.01</v>
      </c>
      <c r="E139" s="69">
        <v>0.01</v>
      </c>
    </row>
    <row r="140" spans="1:5" ht="13.5">
      <c r="A140" s="16"/>
      <c r="B140" s="17" t="s">
        <v>228</v>
      </c>
      <c r="C140" s="173">
        <f>C129*C139</f>
        <v>3000</v>
      </c>
      <c r="D140" s="173">
        <f>D129*D139</f>
        <v>3000</v>
      </c>
      <c r="E140" s="174">
        <f>E129*E139</f>
        <v>3000</v>
      </c>
    </row>
    <row r="141" spans="1:5" ht="13.5">
      <c r="A141" s="16"/>
      <c r="B141" s="17"/>
      <c r="C141" s="17"/>
      <c r="D141" s="11"/>
      <c r="E141" s="166"/>
    </row>
    <row r="142" spans="1:5" ht="13.5">
      <c r="A142" s="16"/>
      <c r="B142" s="17" t="s">
        <v>229</v>
      </c>
      <c r="C142" s="76">
        <v>0.5</v>
      </c>
      <c r="D142" s="76">
        <v>0.5</v>
      </c>
      <c r="E142" s="69">
        <v>0.5</v>
      </c>
    </row>
    <row r="143" spans="1:5" ht="13.5">
      <c r="A143" s="16"/>
      <c r="B143" s="17" t="s">
        <v>230</v>
      </c>
      <c r="C143" s="173">
        <f>C142*C140</f>
        <v>1500</v>
      </c>
      <c r="D143" s="173">
        <f>D142*D140</f>
        <v>1500</v>
      </c>
      <c r="E143" s="174">
        <f>E142*E140</f>
        <v>1500</v>
      </c>
    </row>
    <row r="144" spans="1:5" ht="13.5">
      <c r="A144" s="16"/>
      <c r="B144" s="17"/>
      <c r="C144" s="17"/>
      <c r="D144" s="11"/>
      <c r="E144" s="166"/>
    </row>
    <row r="145" spans="1:5" ht="13.5">
      <c r="A145" s="16"/>
      <c r="B145" s="17" t="s">
        <v>231</v>
      </c>
      <c r="C145" s="76">
        <v>0.5</v>
      </c>
      <c r="D145" s="76">
        <v>0.5</v>
      </c>
      <c r="E145" s="69">
        <v>0.5</v>
      </c>
    </row>
    <row r="146" spans="1:5" ht="13.5">
      <c r="A146" s="16"/>
      <c r="B146" s="17" t="s">
        <v>232</v>
      </c>
      <c r="C146" s="173">
        <f>C145*C140</f>
        <v>1500</v>
      </c>
      <c r="D146" s="173">
        <f>D145*D140</f>
        <v>1500</v>
      </c>
      <c r="E146" s="174">
        <f>E145*E140</f>
        <v>1500</v>
      </c>
    </row>
    <row r="147" spans="1:5" ht="13.5">
      <c r="A147" s="16"/>
      <c r="B147" s="17"/>
      <c r="C147" s="17"/>
      <c r="D147" s="11"/>
      <c r="E147" s="166"/>
    </row>
    <row r="148" spans="1:5" ht="13.5">
      <c r="A148" s="16"/>
      <c r="B148" s="17" t="s">
        <v>233</v>
      </c>
      <c r="C148" s="86">
        <v>5</v>
      </c>
      <c r="D148" s="86">
        <v>5</v>
      </c>
      <c r="E148" s="87">
        <v>5</v>
      </c>
    </row>
    <row r="149" spans="1:5" ht="13.5">
      <c r="A149" s="16"/>
      <c r="B149" s="17" t="s">
        <v>234</v>
      </c>
      <c r="C149" s="84">
        <v>20</v>
      </c>
      <c r="D149" s="84">
        <v>20</v>
      </c>
      <c r="E149" s="85">
        <v>20</v>
      </c>
    </row>
    <row r="150" spans="1:5" ht="13.5">
      <c r="A150" s="16"/>
      <c r="B150" s="17" t="s">
        <v>26</v>
      </c>
      <c r="C150" s="84">
        <v>100</v>
      </c>
      <c r="D150" s="84">
        <v>100</v>
      </c>
      <c r="E150" s="85">
        <v>100</v>
      </c>
    </row>
    <row r="151" spans="1:8" ht="13.5">
      <c r="A151" s="16"/>
      <c r="B151" s="17"/>
      <c r="C151" s="11"/>
      <c r="D151" s="11"/>
      <c r="E151" s="166"/>
      <c r="H151" s="164"/>
    </row>
    <row r="152" spans="1:8" ht="13.5">
      <c r="A152" s="16"/>
      <c r="B152" s="17" t="s">
        <v>27</v>
      </c>
      <c r="C152" s="86">
        <v>5</v>
      </c>
      <c r="D152" s="86">
        <v>5</v>
      </c>
      <c r="E152" s="87">
        <v>5</v>
      </c>
      <c r="F152" s="170"/>
      <c r="H152" s="164"/>
    </row>
    <row r="153" spans="1:6" ht="13.5">
      <c r="A153" s="16"/>
      <c r="B153" s="17" t="s">
        <v>28</v>
      </c>
      <c r="C153" s="84">
        <v>20</v>
      </c>
      <c r="D153" s="84">
        <v>20</v>
      </c>
      <c r="E153" s="85">
        <v>20</v>
      </c>
      <c r="F153" s="170"/>
    </row>
    <row r="154" spans="1:5" ht="15" thickBot="1">
      <c r="A154" s="16"/>
      <c r="B154" s="17" t="s">
        <v>29</v>
      </c>
      <c r="C154" s="84">
        <v>100</v>
      </c>
      <c r="D154" s="84">
        <v>100</v>
      </c>
      <c r="E154" s="85">
        <v>100</v>
      </c>
    </row>
    <row r="155" spans="1:43" ht="13.5">
      <c r="A155" s="16"/>
      <c r="B155" s="17"/>
      <c r="C155" s="23"/>
      <c r="D155" s="23"/>
      <c r="E155" s="112"/>
      <c r="H155" s="53" t="s">
        <v>196</v>
      </c>
      <c r="I155" s="54"/>
      <c r="J155" s="54"/>
      <c r="K155" s="54"/>
      <c r="L155" s="54"/>
      <c r="M155" s="54"/>
      <c r="N155" s="54"/>
      <c r="O155" s="54"/>
      <c r="P155" s="54"/>
      <c r="Q155" s="54"/>
      <c r="R155" s="54"/>
      <c r="S155" s="39"/>
      <c r="T155" s="53" t="s">
        <v>197</v>
      </c>
      <c r="U155" s="54"/>
      <c r="V155" s="54"/>
      <c r="W155" s="54"/>
      <c r="X155" s="54"/>
      <c r="Y155" s="54"/>
      <c r="Z155" s="54"/>
      <c r="AA155" s="54"/>
      <c r="AB155" s="54"/>
      <c r="AC155" s="54"/>
      <c r="AD155" s="54"/>
      <c r="AE155" s="39"/>
      <c r="AF155" s="53" t="s">
        <v>198</v>
      </c>
      <c r="AG155" s="54"/>
      <c r="AH155" s="54"/>
      <c r="AI155" s="54"/>
      <c r="AJ155" s="54"/>
      <c r="AK155" s="54"/>
      <c r="AL155" s="54"/>
      <c r="AM155" s="54"/>
      <c r="AN155" s="54"/>
      <c r="AO155" s="54"/>
      <c r="AP155" s="54"/>
      <c r="AQ155" s="39"/>
    </row>
    <row r="156" spans="1:43" ht="13.5">
      <c r="A156" s="16"/>
      <c r="B156" s="17"/>
      <c r="C156" s="23"/>
      <c r="D156" s="23"/>
      <c r="E156" s="112"/>
      <c r="H156" s="40" t="s">
        <v>200</v>
      </c>
      <c r="I156" s="41" t="s">
        <v>201</v>
      </c>
      <c r="J156" s="41" t="s">
        <v>202</v>
      </c>
      <c r="K156" s="41" t="s">
        <v>203</v>
      </c>
      <c r="L156" s="41" t="s">
        <v>477</v>
      </c>
      <c r="M156" s="41" t="s">
        <v>357</v>
      </c>
      <c r="N156" s="41" t="s">
        <v>358</v>
      </c>
      <c r="O156" s="41" t="s">
        <v>359</v>
      </c>
      <c r="P156" s="41" t="s">
        <v>360</v>
      </c>
      <c r="Q156" s="41" t="s">
        <v>361</v>
      </c>
      <c r="R156" s="41" t="s">
        <v>362</v>
      </c>
      <c r="S156" s="41" t="s">
        <v>363</v>
      </c>
      <c r="T156" s="41" t="s">
        <v>200</v>
      </c>
      <c r="U156" s="41" t="s">
        <v>201</v>
      </c>
      <c r="V156" s="41" t="s">
        <v>202</v>
      </c>
      <c r="W156" s="41" t="s">
        <v>203</v>
      </c>
      <c r="X156" s="41" t="s">
        <v>477</v>
      </c>
      <c r="Y156" s="41" t="s">
        <v>357</v>
      </c>
      <c r="Z156" s="41" t="s">
        <v>358</v>
      </c>
      <c r="AA156" s="41" t="s">
        <v>359</v>
      </c>
      <c r="AB156" s="41" t="s">
        <v>360</v>
      </c>
      <c r="AC156" s="41" t="s">
        <v>361</v>
      </c>
      <c r="AD156" s="41" t="s">
        <v>362</v>
      </c>
      <c r="AE156" s="41" t="s">
        <v>363</v>
      </c>
      <c r="AF156" s="43" t="s">
        <v>200</v>
      </c>
      <c r="AG156" s="43" t="s">
        <v>201</v>
      </c>
      <c r="AH156" s="43" t="s">
        <v>202</v>
      </c>
      <c r="AI156" s="43" t="s">
        <v>203</v>
      </c>
      <c r="AJ156" s="43" t="s">
        <v>477</v>
      </c>
      <c r="AK156" s="43" t="s">
        <v>357</v>
      </c>
      <c r="AL156" s="43" t="s">
        <v>358</v>
      </c>
      <c r="AM156" s="43" t="s">
        <v>359</v>
      </c>
      <c r="AN156" s="43" t="s">
        <v>360</v>
      </c>
      <c r="AO156" s="43" t="s">
        <v>361</v>
      </c>
      <c r="AP156" s="43" t="s">
        <v>362</v>
      </c>
      <c r="AQ156" s="106" t="s">
        <v>363</v>
      </c>
    </row>
    <row r="157" spans="1:43" ht="13.5">
      <c r="A157" s="24" t="s">
        <v>205</v>
      </c>
      <c r="B157" s="17"/>
      <c r="C157" s="23"/>
      <c r="D157" s="23"/>
      <c r="E157" s="112"/>
      <c r="F157" s="182" t="s">
        <v>30</v>
      </c>
      <c r="H157" s="30">
        <v>0</v>
      </c>
      <c r="I157" s="30">
        <v>0</v>
      </c>
      <c r="J157" s="30">
        <v>0</v>
      </c>
      <c r="K157" s="30">
        <f>'Revenue - Website'!H58</f>
        <v>289166.6666666667</v>
      </c>
      <c r="L157" s="30">
        <f>'Revenue - Website'!I58</f>
        <v>378333.3333333334</v>
      </c>
      <c r="M157" s="30">
        <f>'Revenue - Website'!J58</f>
        <v>445000.00000000006</v>
      </c>
      <c r="N157" s="30">
        <f>'Revenue - Website'!K58</f>
        <v>511666.66666666674</v>
      </c>
      <c r="O157" s="30">
        <f>'Revenue - Website'!L58</f>
        <v>578333.3333333334</v>
      </c>
      <c r="P157" s="30">
        <f>'Revenue - Website'!M58</f>
        <v>800000</v>
      </c>
      <c r="Q157" s="30">
        <f>'Revenue - Website'!N58</f>
        <v>890000</v>
      </c>
      <c r="R157" s="30">
        <f>'Revenue - Website'!O58</f>
        <v>980000</v>
      </c>
      <c r="S157" s="30">
        <f>'Revenue - Website'!P58</f>
        <v>1070000</v>
      </c>
      <c r="T157" s="30">
        <f>'Revenue - Website'!Q58</f>
        <v>1160000</v>
      </c>
      <c r="U157" s="30">
        <f>'Revenue - Website'!R58</f>
        <v>1250000</v>
      </c>
      <c r="V157" s="30">
        <f>'Revenue - Website'!S58</f>
        <v>1340000</v>
      </c>
      <c r="W157" s="30">
        <f>'Revenue - Website'!T58</f>
        <v>1430000</v>
      </c>
      <c r="X157" s="30">
        <f>'Revenue - Website'!U58</f>
        <v>1520000</v>
      </c>
      <c r="Y157" s="30">
        <f>'Revenue - Website'!V58</f>
        <v>1610000</v>
      </c>
      <c r="Z157" s="30">
        <f>'Revenue - Website'!W58</f>
        <v>1700000</v>
      </c>
      <c r="AA157" s="30">
        <f>'Revenue - Website'!X58</f>
        <v>1790000</v>
      </c>
      <c r="AB157" s="30">
        <f>'Revenue - Website'!Y58</f>
        <v>1880000</v>
      </c>
      <c r="AC157" s="30">
        <f>'Revenue - Website'!Z58</f>
        <v>1956666.6666666667</v>
      </c>
      <c r="AD157" s="30">
        <f>'Revenue - Website'!AA58</f>
        <v>2033333.3333333335</v>
      </c>
      <c r="AE157" s="30">
        <f>'Revenue - Website'!AB58</f>
        <v>2110000</v>
      </c>
      <c r="AF157" s="30">
        <f>'Revenue - Website'!AC58</f>
        <v>2186666.6666666665</v>
      </c>
      <c r="AG157" s="30">
        <f>'Revenue - Website'!AD58</f>
        <v>2263333.333333333</v>
      </c>
      <c r="AH157" s="30">
        <f>'Revenue - Website'!AE58</f>
        <v>2339999.9999999995</v>
      </c>
      <c r="AI157" s="30">
        <f>'Revenue - Website'!AF58</f>
        <v>2416666.666666666</v>
      </c>
      <c r="AJ157" s="30">
        <f>'Revenue - Website'!AG58</f>
        <v>2493333.3333333326</v>
      </c>
      <c r="AK157" s="30">
        <f>'Revenue - Website'!AH58</f>
        <v>2569999.999999999</v>
      </c>
      <c r="AL157" s="30">
        <f>'Revenue - Website'!AI58</f>
        <v>2646666.6666666656</v>
      </c>
      <c r="AM157" s="30">
        <f>'Revenue - Website'!AJ58</f>
        <v>2723333.333333332</v>
      </c>
      <c r="AN157" s="30">
        <f>'Revenue - Website'!AK58</f>
        <v>2800000</v>
      </c>
      <c r="AO157" s="30">
        <f>'Revenue - Website'!AL58</f>
        <v>0</v>
      </c>
      <c r="AP157" s="30">
        <f>'Revenue - Website'!AM58</f>
        <v>0</v>
      </c>
      <c r="AQ157" s="30">
        <f>'Revenue - Website'!AN58</f>
        <v>0</v>
      </c>
    </row>
    <row r="158" spans="1:43" ht="13.5">
      <c r="A158" s="16"/>
      <c r="B158" s="17" t="s">
        <v>400</v>
      </c>
      <c r="C158" s="76">
        <v>0.02</v>
      </c>
      <c r="D158" s="76">
        <v>0.02</v>
      </c>
      <c r="E158" s="69">
        <v>0.02</v>
      </c>
      <c r="F158" s="182" t="s">
        <v>31</v>
      </c>
      <c r="H158" s="30">
        <f>H157*$C$158</f>
        <v>0</v>
      </c>
      <c r="I158" s="30">
        <f aca="true" t="shared" si="25" ref="I158:S158">I157*$C$158</f>
        <v>0</v>
      </c>
      <c r="J158" s="30">
        <f t="shared" si="25"/>
        <v>0</v>
      </c>
      <c r="K158" s="30">
        <f t="shared" si="25"/>
        <v>5783.333333333334</v>
      </c>
      <c r="L158" s="30">
        <f t="shared" si="25"/>
        <v>7566.666666666668</v>
      </c>
      <c r="M158" s="30">
        <f t="shared" si="25"/>
        <v>8900.000000000002</v>
      </c>
      <c r="N158" s="30">
        <f t="shared" si="25"/>
        <v>10233.333333333336</v>
      </c>
      <c r="O158" s="30">
        <f t="shared" si="25"/>
        <v>11566.666666666668</v>
      </c>
      <c r="P158" s="30">
        <f t="shared" si="25"/>
        <v>16000</v>
      </c>
      <c r="Q158" s="30">
        <f t="shared" si="25"/>
        <v>17800</v>
      </c>
      <c r="R158" s="30">
        <f t="shared" si="25"/>
        <v>19600</v>
      </c>
      <c r="S158" s="30">
        <f t="shared" si="25"/>
        <v>21400</v>
      </c>
      <c r="T158" s="30">
        <f>T157*$D$158</f>
        <v>23200</v>
      </c>
      <c r="U158" s="30">
        <f aca="true" t="shared" si="26" ref="U158:AE158">U157*$D$158</f>
        <v>25000</v>
      </c>
      <c r="V158" s="30">
        <f t="shared" si="26"/>
        <v>26800</v>
      </c>
      <c r="W158" s="30">
        <f t="shared" si="26"/>
        <v>28600</v>
      </c>
      <c r="X158" s="30">
        <f t="shared" si="26"/>
        <v>30400</v>
      </c>
      <c r="Y158" s="30">
        <f t="shared" si="26"/>
        <v>32200</v>
      </c>
      <c r="Z158" s="30">
        <f t="shared" si="26"/>
        <v>34000</v>
      </c>
      <c r="AA158" s="30">
        <f t="shared" si="26"/>
        <v>35800</v>
      </c>
      <c r="AB158" s="30">
        <f t="shared" si="26"/>
        <v>37600</v>
      </c>
      <c r="AC158" s="30">
        <f t="shared" si="26"/>
        <v>39133.333333333336</v>
      </c>
      <c r="AD158" s="30">
        <f t="shared" si="26"/>
        <v>40666.66666666667</v>
      </c>
      <c r="AE158" s="30">
        <f t="shared" si="26"/>
        <v>42200</v>
      </c>
      <c r="AF158" s="30">
        <f>AF157*$E$158</f>
        <v>43733.33333333333</v>
      </c>
      <c r="AG158" s="30">
        <f aca="true" t="shared" si="27" ref="AG158:AQ158">AG157*$E$158</f>
        <v>45266.666666666664</v>
      </c>
      <c r="AH158" s="30">
        <f t="shared" si="27"/>
        <v>46799.99999999999</v>
      </c>
      <c r="AI158" s="30">
        <f t="shared" si="27"/>
        <v>48333.33333333332</v>
      </c>
      <c r="AJ158" s="30">
        <f t="shared" si="27"/>
        <v>49866.66666666665</v>
      </c>
      <c r="AK158" s="30">
        <f t="shared" si="27"/>
        <v>51399.999999999985</v>
      </c>
      <c r="AL158" s="30">
        <f t="shared" si="27"/>
        <v>52933.333333333314</v>
      </c>
      <c r="AM158" s="30">
        <f t="shared" si="27"/>
        <v>54466.66666666664</v>
      </c>
      <c r="AN158" s="30">
        <f t="shared" si="27"/>
        <v>56000</v>
      </c>
      <c r="AO158" s="30">
        <f t="shared" si="27"/>
        <v>0</v>
      </c>
      <c r="AP158" s="30">
        <f t="shared" si="27"/>
        <v>0</v>
      </c>
      <c r="AQ158" s="30">
        <f t="shared" si="27"/>
        <v>0</v>
      </c>
    </row>
    <row r="159" spans="1:43" ht="13.5">
      <c r="A159" s="16"/>
      <c r="B159" s="17" t="s">
        <v>401</v>
      </c>
      <c r="C159" s="86">
        <v>4</v>
      </c>
      <c r="D159" s="86">
        <v>6</v>
      </c>
      <c r="E159" s="87">
        <v>8</v>
      </c>
      <c r="F159" s="182" t="s">
        <v>32</v>
      </c>
      <c r="H159" s="30">
        <f>H158*$C$159</f>
        <v>0</v>
      </c>
      <c r="I159" s="30">
        <f aca="true" t="shared" si="28" ref="I159:S159">I158*$C$159</f>
        <v>0</v>
      </c>
      <c r="J159" s="30">
        <f t="shared" si="28"/>
        <v>0</v>
      </c>
      <c r="K159" s="30">
        <f t="shared" si="28"/>
        <v>23133.333333333336</v>
      </c>
      <c r="L159" s="30">
        <f t="shared" si="28"/>
        <v>30266.66666666667</v>
      </c>
      <c r="M159" s="30">
        <f t="shared" si="28"/>
        <v>35600.00000000001</v>
      </c>
      <c r="N159" s="30">
        <f t="shared" si="28"/>
        <v>40933.33333333334</v>
      </c>
      <c r="O159" s="30">
        <f t="shared" si="28"/>
        <v>46266.66666666667</v>
      </c>
      <c r="P159" s="30">
        <f t="shared" si="28"/>
        <v>64000</v>
      </c>
      <c r="Q159" s="30">
        <f t="shared" si="28"/>
        <v>71200</v>
      </c>
      <c r="R159" s="30">
        <f t="shared" si="28"/>
        <v>78400</v>
      </c>
      <c r="S159" s="30">
        <f t="shared" si="28"/>
        <v>85600</v>
      </c>
      <c r="T159" s="30">
        <f>T158*$D$159</f>
        <v>139200</v>
      </c>
      <c r="U159" s="30">
        <f aca="true" t="shared" si="29" ref="U159:AE159">U158*$D$159</f>
        <v>150000</v>
      </c>
      <c r="V159" s="30">
        <f t="shared" si="29"/>
        <v>160800</v>
      </c>
      <c r="W159" s="30">
        <f t="shared" si="29"/>
        <v>171600</v>
      </c>
      <c r="X159" s="30">
        <f t="shared" si="29"/>
        <v>182400</v>
      </c>
      <c r="Y159" s="30">
        <f t="shared" si="29"/>
        <v>193200</v>
      </c>
      <c r="Z159" s="30">
        <f t="shared" si="29"/>
        <v>204000</v>
      </c>
      <c r="AA159" s="30">
        <f t="shared" si="29"/>
        <v>214800</v>
      </c>
      <c r="AB159" s="30">
        <f t="shared" si="29"/>
        <v>225600</v>
      </c>
      <c r="AC159" s="30">
        <f t="shared" si="29"/>
        <v>234800</v>
      </c>
      <c r="AD159" s="30">
        <f t="shared" si="29"/>
        <v>244000.00000000003</v>
      </c>
      <c r="AE159" s="30">
        <f t="shared" si="29"/>
        <v>253200</v>
      </c>
      <c r="AF159" s="30">
        <f>AF158*$E$159</f>
        <v>349866.6666666666</v>
      </c>
      <c r="AG159" s="30">
        <f aca="true" t="shared" si="30" ref="AG159:AQ159">AG158*$E$159</f>
        <v>362133.3333333333</v>
      </c>
      <c r="AH159" s="30">
        <f t="shared" si="30"/>
        <v>374399.99999999994</v>
      </c>
      <c r="AI159" s="30">
        <f t="shared" si="30"/>
        <v>386666.66666666657</v>
      </c>
      <c r="AJ159" s="30">
        <f t="shared" si="30"/>
        <v>398933.3333333332</v>
      </c>
      <c r="AK159" s="30">
        <f t="shared" si="30"/>
        <v>411199.9999999999</v>
      </c>
      <c r="AL159" s="30">
        <f t="shared" si="30"/>
        <v>423466.6666666665</v>
      </c>
      <c r="AM159" s="30">
        <f t="shared" si="30"/>
        <v>435733.33333333314</v>
      </c>
      <c r="AN159" s="30">
        <f t="shared" si="30"/>
        <v>448000</v>
      </c>
      <c r="AO159" s="30">
        <f t="shared" si="30"/>
        <v>0</v>
      </c>
      <c r="AP159" s="30">
        <f t="shared" si="30"/>
        <v>0</v>
      </c>
      <c r="AQ159" s="30">
        <f t="shared" si="30"/>
        <v>0</v>
      </c>
    </row>
    <row r="160" spans="1:6" ht="13.5">
      <c r="A160" s="16"/>
      <c r="B160" s="17"/>
      <c r="C160" s="23"/>
      <c r="D160" s="23"/>
      <c r="E160" s="112"/>
      <c r="F160" s="182"/>
    </row>
    <row r="161" spans="1:43" ht="13.5">
      <c r="A161" s="16"/>
      <c r="B161" s="17" t="s">
        <v>402</v>
      </c>
      <c r="C161" s="84">
        <v>20</v>
      </c>
      <c r="D161" s="84">
        <v>20</v>
      </c>
      <c r="E161" s="85">
        <v>20</v>
      </c>
      <c r="F161" s="182" t="s">
        <v>33</v>
      </c>
      <c r="H161" s="6">
        <f>(H159/1000)*$C$161</f>
        <v>0</v>
      </c>
      <c r="I161" s="6">
        <f aca="true" t="shared" si="31" ref="I161:S161">(I159/1000)*$C$161</f>
        <v>0</v>
      </c>
      <c r="J161" s="6">
        <f t="shared" si="31"/>
        <v>0</v>
      </c>
      <c r="K161" s="6">
        <f t="shared" si="31"/>
        <v>462.66666666666674</v>
      </c>
      <c r="L161" s="6">
        <f t="shared" si="31"/>
        <v>605.3333333333335</v>
      </c>
      <c r="M161" s="6">
        <f t="shared" si="31"/>
        <v>712.0000000000002</v>
      </c>
      <c r="N161" s="6">
        <f t="shared" si="31"/>
        <v>818.6666666666669</v>
      </c>
      <c r="O161" s="6">
        <f t="shared" si="31"/>
        <v>925.3333333333335</v>
      </c>
      <c r="P161" s="6">
        <f t="shared" si="31"/>
        <v>1280</v>
      </c>
      <c r="Q161" s="6">
        <f t="shared" si="31"/>
        <v>1424</v>
      </c>
      <c r="R161" s="6">
        <f t="shared" si="31"/>
        <v>1568</v>
      </c>
      <c r="S161" s="6">
        <f t="shared" si="31"/>
        <v>1712</v>
      </c>
      <c r="T161" s="6">
        <f>(T159/1000)*$D$161</f>
        <v>2784</v>
      </c>
      <c r="U161" s="6">
        <f aca="true" t="shared" si="32" ref="U161:AE161">(U159/1000)*$D$161</f>
        <v>3000</v>
      </c>
      <c r="V161" s="6">
        <f t="shared" si="32"/>
        <v>3216</v>
      </c>
      <c r="W161" s="6">
        <f t="shared" si="32"/>
        <v>3432</v>
      </c>
      <c r="X161" s="6">
        <f t="shared" si="32"/>
        <v>3648</v>
      </c>
      <c r="Y161" s="6">
        <f t="shared" si="32"/>
        <v>3864</v>
      </c>
      <c r="Z161" s="6">
        <f t="shared" si="32"/>
        <v>4080</v>
      </c>
      <c r="AA161" s="6">
        <f t="shared" si="32"/>
        <v>4296</v>
      </c>
      <c r="AB161" s="6">
        <f t="shared" si="32"/>
        <v>4512</v>
      </c>
      <c r="AC161" s="6">
        <f t="shared" si="32"/>
        <v>4696</v>
      </c>
      <c r="AD161" s="6">
        <f t="shared" si="32"/>
        <v>4880.000000000001</v>
      </c>
      <c r="AE161" s="6">
        <f t="shared" si="32"/>
        <v>5064</v>
      </c>
      <c r="AF161" s="6">
        <f>(AF159/1000)*$E$161</f>
        <v>6997.333333333332</v>
      </c>
      <c r="AG161" s="6">
        <f aca="true" t="shared" si="33" ref="AG161:AQ161">(AG159/1000)*$E$161</f>
        <v>7242.666666666666</v>
      </c>
      <c r="AH161" s="6">
        <f t="shared" si="33"/>
        <v>7487.999999999998</v>
      </c>
      <c r="AI161" s="6">
        <f t="shared" si="33"/>
        <v>7733.333333333331</v>
      </c>
      <c r="AJ161" s="6">
        <f t="shared" si="33"/>
        <v>7978.666666666664</v>
      </c>
      <c r="AK161" s="6">
        <f t="shared" si="33"/>
        <v>8223.999999999998</v>
      </c>
      <c r="AL161" s="6">
        <f t="shared" si="33"/>
        <v>8469.33333333333</v>
      </c>
      <c r="AM161" s="6">
        <f t="shared" si="33"/>
        <v>8714.666666666662</v>
      </c>
      <c r="AN161" s="6">
        <f t="shared" si="33"/>
        <v>8960</v>
      </c>
      <c r="AO161" s="6">
        <f t="shared" si="33"/>
        <v>0</v>
      </c>
      <c r="AP161" s="6">
        <f t="shared" si="33"/>
        <v>0</v>
      </c>
      <c r="AQ161" s="6">
        <f t="shared" si="33"/>
        <v>0</v>
      </c>
    </row>
    <row r="162" spans="1:5" ht="13.5">
      <c r="A162" s="16"/>
      <c r="B162" s="17"/>
      <c r="C162" s="12"/>
      <c r="D162" s="12"/>
      <c r="E162" s="168"/>
    </row>
    <row r="163" spans="1:5" ht="15" thickBot="1">
      <c r="A163" s="19"/>
      <c r="B163" s="20"/>
      <c r="C163" s="20"/>
      <c r="D163" s="20"/>
      <c r="E163" s="21"/>
    </row>
    <row r="165" spans="3:5" ht="13.5">
      <c r="C165" s="169" t="s">
        <v>196</v>
      </c>
      <c r="D165" s="169" t="s">
        <v>197</v>
      </c>
      <c r="E165" s="169" t="s">
        <v>198</v>
      </c>
    </row>
    <row r="166" ht="13.5">
      <c r="H166" s="178"/>
    </row>
    <row r="167" spans="1:43" ht="13.5">
      <c r="A167" s="25" t="s">
        <v>515</v>
      </c>
      <c r="C167" s="23">
        <f>C168+C169</f>
        <v>245758</v>
      </c>
      <c r="D167" s="23">
        <f>D168+D169</f>
        <v>362472</v>
      </c>
      <c r="E167" s="23">
        <f>E168+E169</f>
        <v>386808</v>
      </c>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row>
    <row r="168" spans="2:43" ht="13.5">
      <c r="B168" s="25" t="s">
        <v>34</v>
      </c>
      <c r="C168" s="23">
        <f>((C129*C130*C133*C148*C149)+(C129*C130*C136*C150)+(C129*C139*C142*C152*C153)+(C129*C139*C145*C154))*0.75</f>
        <v>236250</v>
      </c>
      <c r="D168" s="23">
        <f>(D129*D130*D133*D148*D149)+(D129*D130*D136*D150)+(D129*D139*D142*D152*D153)+(D129*D139*D145*D154)</f>
        <v>315000</v>
      </c>
      <c r="E168" s="23">
        <f>(E129*E130*E133*E148*E149)+(E129*E130*E136*E150)+(E129*E139*E142*E152*E153)+(E129*E139*E145*E154)</f>
        <v>315000</v>
      </c>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row>
    <row r="169" spans="2:43" ht="13.5">
      <c r="B169" s="25" t="s">
        <v>405</v>
      </c>
      <c r="C169" s="23">
        <f>SUM(H161:S161)</f>
        <v>9508</v>
      </c>
      <c r="D169" s="23">
        <f>SUM(T161:AE161)</f>
        <v>47472</v>
      </c>
      <c r="E169" s="23">
        <f>SUM(AF161:AQ161)</f>
        <v>71807.99999999999</v>
      </c>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row>
    <row r="170" ht="13.5">
      <c r="B170" s="164"/>
    </row>
    <row r="171" ht="13.5">
      <c r="H171" s="164"/>
    </row>
    <row r="172" ht="13.5">
      <c r="H172" s="164"/>
    </row>
    <row r="173" spans="1:2" ht="13.5">
      <c r="A173" s="197" t="s">
        <v>35</v>
      </c>
      <c r="B173" s="167"/>
    </row>
    <row r="174" spans="1:2" ht="13.5">
      <c r="A174" s="99"/>
      <c r="B174" s="164" t="s">
        <v>404</v>
      </c>
    </row>
    <row r="175" spans="1:2" ht="13.5">
      <c r="A175" s="99"/>
      <c r="B175" s="25" t="s">
        <v>190</v>
      </c>
    </row>
    <row r="176" spans="1:2" ht="13.5">
      <c r="A176" s="99"/>
      <c r="B176" s="164" t="s">
        <v>36</v>
      </c>
    </row>
    <row r="177" spans="1:2" ht="13.5">
      <c r="A177" s="99"/>
      <c r="B177" s="164" t="s">
        <v>37</v>
      </c>
    </row>
    <row r="178" spans="1:2" ht="13.5">
      <c r="A178" s="99"/>
      <c r="B178" s="164" t="s">
        <v>38</v>
      </c>
    </row>
    <row r="179" spans="1:2" ht="13.5">
      <c r="A179" s="99"/>
      <c r="B179" s="178" t="s">
        <v>39</v>
      </c>
    </row>
    <row r="180" ht="15" thickBot="1"/>
    <row r="181" spans="1:5" ht="13.5">
      <c r="A181" s="70" t="s">
        <v>408</v>
      </c>
      <c r="B181" s="71"/>
      <c r="C181" s="71"/>
      <c r="D181" s="71"/>
      <c r="E181" s="330"/>
    </row>
    <row r="182" spans="1:5" ht="13.5">
      <c r="A182" s="16"/>
      <c r="B182" s="48"/>
      <c r="C182" s="55" t="s">
        <v>196</v>
      </c>
      <c r="D182" s="55" t="s">
        <v>197</v>
      </c>
      <c r="E182" s="130" t="s">
        <v>198</v>
      </c>
    </row>
    <row r="183" spans="1:43" ht="13.5">
      <c r="A183" s="16"/>
      <c r="B183" s="48" t="s">
        <v>399</v>
      </c>
      <c r="C183" s="173"/>
      <c r="D183" s="173">
        <f>D30</f>
        <v>300000</v>
      </c>
      <c r="E183" s="174">
        <f>E30</f>
        <v>300000</v>
      </c>
      <c r="F183" s="182"/>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row>
    <row r="184" spans="1:5" ht="13.5">
      <c r="A184" s="16"/>
      <c r="B184" s="26" t="s">
        <v>40</v>
      </c>
      <c r="C184" s="173"/>
      <c r="D184" s="82">
        <v>0.0005</v>
      </c>
      <c r="E184" s="334">
        <v>0.001</v>
      </c>
    </row>
    <row r="185" spans="1:5" ht="13.5">
      <c r="A185" s="16"/>
      <c r="B185" s="26" t="s">
        <v>41</v>
      </c>
      <c r="C185" s="173"/>
      <c r="D185" s="173">
        <f>D183*D184</f>
        <v>150</v>
      </c>
      <c r="E185" s="174">
        <f>E183*E184</f>
        <v>300</v>
      </c>
    </row>
    <row r="186" spans="1:5" ht="13.5">
      <c r="A186" s="16"/>
      <c r="B186" s="26"/>
      <c r="C186" s="173"/>
      <c r="D186" s="173"/>
      <c r="E186" s="174"/>
    </row>
    <row r="187" spans="1:5" ht="13.5">
      <c r="A187" s="16"/>
      <c r="B187" s="26" t="s">
        <v>42</v>
      </c>
      <c r="C187" s="173"/>
      <c r="D187" s="76">
        <v>0.3</v>
      </c>
      <c r="E187" s="69">
        <v>0.3</v>
      </c>
    </row>
    <row r="188" spans="1:5" ht="13.5">
      <c r="A188" s="16"/>
      <c r="B188" s="45" t="s">
        <v>43</v>
      </c>
      <c r="C188" s="173"/>
      <c r="D188" s="173">
        <f>D185*D187</f>
        <v>45</v>
      </c>
      <c r="E188" s="174">
        <f>E185*E187</f>
        <v>90</v>
      </c>
    </row>
    <row r="189" spans="1:6" ht="13.5">
      <c r="A189" s="16"/>
      <c r="B189" s="26"/>
      <c r="C189" s="173"/>
      <c r="D189" s="17"/>
      <c r="E189" s="18"/>
      <c r="F189" s="198"/>
    </row>
    <row r="190" spans="1:43" ht="13.5">
      <c r="A190" s="16"/>
      <c r="B190" s="48" t="s">
        <v>44</v>
      </c>
      <c r="C190" s="173"/>
      <c r="D190" s="84">
        <v>40</v>
      </c>
      <c r="E190" s="85">
        <v>40</v>
      </c>
      <c r="F190" s="189"/>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row>
    <row r="191" spans="1:6" ht="13.5">
      <c r="A191" s="16"/>
      <c r="B191" s="17" t="s">
        <v>45</v>
      </c>
      <c r="C191" s="173"/>
      <c r="D191" s="84">
        <v>60</v>
      </c>
      <c r="E191" s="85">
        <v>60</v>
      </c>
      <c r="F191" s="48"/>
    </row>
    <row r="192" spans="1:6" ht="13.5">
      <c r="A192" s="16"/>
      <c r="B192" s="17"/>
      <c r="C192" s="173"/>
      <c r="D192" s="11"/>
      <c r="E192" s="166"/>
      <c r="F192" s="48"/>
    </row>
    <row r="193" spans="1:6" ht="13.5">
      <c r="A193" s="16"/>
      <c r="B193" s="17" t="s">
        <v>46</v>
      </c>
      <c r="C193" s="173"/>
      <c r="D193" s="84">
        <v>40</v>
      </c>
      <c r="E193" s="85">
        <v>40</v>
      </c>
      <c r="F193" s="48"/>
    </row>
    <row r="194" spans="1:6" ht="13.5">
      <c r="A194" s="16"/>
      <c r="B194" s="17"/>
      <c r="C194" s="173"/>
      <c r="D194" s="11"/>
      <c r="E194" s="166"/>
      <c r="F194" s="48"/>
    </row>
    <row r="195" spans="1:6" ht="13.5">
      <c r="A195" s="16"/>
      <c r="B195" s="17" t="s">
        <v>47</v>
      </c>
      <c r="C195" s="173"/>
      <c r="D195" s="11"/>
      <c r="E195" s="166"/>
      <c r="F195" s="48"/>
    </row>
    <row r="196" spans="1:6" ht="13.5">
      <c r="A196" s="16"/>
      <c r="B196" s="199" t="s">
        <v>48</v>
      </c>
      <c r="C196" s="173"/>
      <c r="D196" s="74">
        <v>0.8</v>
      </c>
      <c r="E196" s="75">
        <v>0.8</v>
      </c>
      <c r="F196" s="48"/>
    </row>
    <row r="197" spans="1:6" ht="13.5">
      <c r="A197" s="16"/>
      <c r="B197" s="199" t="s">
        <v>49</v>
      </c>
      <c r="C197" s="173"/>
      <c r="D197" s="86">
        <v>10000</v>
      </c>
      <c r="E197" s="87">
        <v>10000</v>
      </c>
      <c r="F197" s="48"/>
    </row>
    <row r="198" spans="1:5" ht="13.5">
      <c r="A198" s="16"/>
      <c r="B198" s="200" t="s">
        <v>50</v>
      </c>
      <c r="C198" s="173"/>
      <c r="D198" s="76">
        <v>0.07</v>
      </c>
      <c r="E198" s="69">
        <v>0.07</v>
      </c>
    </row>
    <row r="199" spans="1:5" ht="13.5">
      <c r="A199" s="16"/>
      <c r="B199" s="200"/>
      <c r="C199" s="173"/>
      <c r="D199" s="11"/>
      <c r="E199" s="166"/>
    </row>
    <row r="200" spans="1:5" ht="15" thickBot="1">
      <c r="A200" s="19"/>
      <c r="B200" s="20"/>
      <c r="C200" s="20"/>
      <c r="D200" s="20"/>
      <c r="E200" s="21"/>
    </row>
    <row r="202" spans="3:5" ht="13.5">
      <c r="C202" s="169" t="s">
        <v>196</v>
      </c>
      <c r="D202" s="169" t="s">
        <v>197</v>
      </c>
      <c r="E202" s="169" t="s">
        <v>198</v>
      </c>
    </row>
    <row r="204" spans="1:43" ht="13.5">
      <c r="A204" s="25" t="s">
        <v>516</v>
      </c>
      <c r="C204" s="23"/>
      <c r="D204" s="23">
        <f>SUM(D205:D208)</f>
        <v>194100</v>
      </c>
      <c r="E204" s="23">
        <f>SUM(E205:E208)</f>
        <v>762600</v>
      </c>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row>
    <row r="205" spans="2:43" ht="13.5">
      <c r="B205" s="25" t="s">
        <v>51</v>
      </c>
      <c r="C205" s="23"/>
      <c r="D205" s="23">
        <f>(D185-D188)*D190</f>
        <v>4200</v>
      </c>
      <c r="E205" s="23">
        <f>(E185-E188)*E190</f>
        <v>8400</v>
      </c>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row>
    <row r="206" spans="2:43" ht="13.5">
      <c r="B206" s="25" t="s">
        <v>52</v>
      </c>
      <c r="C206" s="23"/>
      <c r="D206" s="23">
        <f>(D188*D191)</f>
        <v>2700</v>
      </c>
      <c r="E206" s="23">
        <f>(E188*E191)</f>
        <v>5400</v>
      </c>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row>
    <row r="207" spans="2:43" ht="13.5">
      <c r="B207" s="25" t="s">
        <v>46</v>
      </c>
      <c r="C207" s="23"/>
      <c r="D207" s="23">
        <f>(6*D185*D193)</f>
        <v>36000</v>
      </c>
      <c r="E207" s="23">
        <f>(12*D185*D193)+(6*E185*E193)</f>
        <v>144000</v>
      </c>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row>
    <row r="208" spans="2:43" ht="13.5">
      <c r="B208" s="25" t="s">
        <v>47</v>
      </c>
      <c r="C208" s="23"/>
      <c r="D208" s="23">
        <f>(D188*((D196*D197)*6))*D198</f>
        <v>151200</v>
      </c>
      <c r="E208" s="23">
        <f>((E188*((E196*E197)*6))+(D188*((D196*D197)*12)))*E198</f>
        <v>604800</v>
      </c>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row>
    <row r="212" ht="13.5">
      <c r="A212" s="99" t="s">
        <v>53</v>
      </c>
    </row>
    <row r="213" spans="1:2" ht="13.5">
      <c r="A213" s="99"/>
      <c r="B213" s="164" t="s">
        <v>54</v>
      </c>
    </row>
    <row r="214" spans="1:2" ht="13.5">
      <c r="A214" s="99"/>
      <c r="B214" s="164" t="s">
        <v>272</v>
      </c>
    </row>
    <row r="215" spans="1:2" ht="13.5">
      <c r="A215" s="99"/>
      <c r="B215" s="164" t="s">
        <v>273</v>
      </c>
    </row>
    <row r="216" ht="15" thickBot="1"/>
    <row r="217" spans="1:5" ht="13.5">
      <c r="A217" s="70" t="s">
        <v>408</v>
      </c>
      <c r="B217" s="71"/>
      <c r="C217" s="71"/>
      <c r="D217" s="71"/>
      <c r="E217" s="330"/>
    </row>
    <row r="218" spans="1:5" ht="13.5">
      <c r="A218" s="16"/>
      <c r="B218" s="48"/>
      <c r="C218" s="55" t="s">
        <v>196</v>
      </c>
      <c r="D218" s="55" t="s">
        <v>197</v>
      </c>
      <c r="E218" s="130" t="s">
        <v>198</v>
      </c>
    </row>
    <row r="219" spans="1:5" ht="13.5">
      <c r="A219" s="24" t="s">
        <v>274</v>
      </c>
      <c r="B219" s="48"/>
      <c r="C219" s="55"/>
      <c r="D219" s="55"/>
      <c r="E219" s="130"/>
    </row>
    <row r="220" spans="1:5" ht="13.5">
      <c r="A220" s="16"/>
      <c r="B220" s="48" t="s">
        <v>399</v>
      </c>
      <c r="C220" s="201"/>
      <c r="D220" s="173">
        <f>D129</f>
        <v>300000</v>
      </c>
      <c r="E220" s="174">
        <f>E30</f>
        <v>300000</v>
      </c>
    </row>
    <row r="221" spans="1:5" ht="13.5">
      <c r="A221" s="16"/>
      <c r="B221" s="48" t="s">
        <v>275</v>
      </c>
      <c r="C221" s="201"/>
      <c r="D221" s="333">
        <v>0.002</v>
      </c>
      <c r="E221" s="334">
        <v>0.002</v>
      </c>
    </row>
    <row r="222" spans="1:5" ht="13.5">
      <c r="A222" s="16"/>
      <c r="B222" s="48" t="s">
        <v>276</v>
      </c>
      <c r="C222" s="201"/>
      <c r="D222" s="173">
        <f>D220*D221</f>
        <v>600</v>
      </c>
      <c r="E222" s="174">
        <f>E220*E221</f>
        <v>600</v>
      </c>
    </row>
    <row r="223" spans="1:5" ht="13.5">
      <c r="A223" s="16"/>
      <c r="B223" s="48"/>
      <c r="C223" s="201"/>
      <c r="D223" s="55"/>
      <c r="E223" s="130"/>
    </row>
    <row r="224" spans="1:5" ht="13.5">
      <c r="A224" s="16"/>
      <c r="B224" s="48" t="s">
        <v>277</v>
      </c>
      <c r="C224" s="201"/>
      <c r="D224" s="333">
        <v>0.001</v>
      </c>
      <c r="E224" s="334">
        <v>0.001</v>
      </c>
    </row>
    <row r="225" spans="1:5" ht="13.5">
      <c r="A225" s="16"/>
      <c r="B225" s="48" t="s">
        <v>278</v>
      </c>
      <c r="C225" s="201"/>
      <c r="D225" s="201">
        <f>D220*D224</f>
        <v>300</v>
      </c>
      <c r="E225" s="174">
        <f>E220*E224</f>
        <v>300</v>
      </c>
    </row>
    <row r="226" spans="1:5" ht="13.5">
      <c r="A226" s="16"/>
      <c r="B226" s="48"/>
      <c r="C226" s="201"/>
      <c r="D226" s="55"/>
      <c r="E226" s="130"/>
    </row>
    <row r="227" spans="1:5" ht="13.5">
      <c r="A227" s="16"/>
      <c r="B227" s="48" t="s">
        <v>279</v>
      </c>
      <c r="C227" s="201"/>
      <c r="D227" s="86">
        <v>3</v>
      </c>
      <c r="E227" s="87">
        <v>3</v>
      </c>
    </row>
    <row r="228" spans="1:5" ht="13.5">
      <c r="A228" s="16"/>
      <c r="B228" s="17" t="s">
        <v>280</v>
      </c>
      <c r="C228" s="201"/>
      <c r="D228" s="84">
        <v>45</v>
      </c>
      <c r="E228" s="85">
        <v>45</v>
      </c>
    </row>
    <row r="229" spans="1:5" ht="13.5">
      <c r="A229" s="16"/>
      <c r="B229" s="17"/>
      <c r="C229" s="201"/>
      <c r="D229" s="23"/>
      <c r="E229" s="112"/>
    </row>
    <row r="230" spans="1:5" ht="13.5">
      <c r="A230" s="16"/>
      <c r="B230" s="17" t="s">
        <v>281</v>
      </c>
      <c r="C230" s="201"/>
      <c r="D230" s="86">
        <v>1</v>
      </c>
      <c r="E230" s="87">
        <v>1</v>
      </c>
    </row>
    <row r="231" spans="1:5" ht="13.5">
      <c r="A231" s="16"/>
      <c r="B231" s="17" t="s">
        <v>282</v>
      </c>
      <c r="C231" s="201"/>
      <c r="D231" s="84">
        <v>450</v>
      </c>
      <c r="E231" s="85">
        <v>450</v>
      </c>
    </row>
    <row r="232" spans="1:5" ht="13.5">
      <c r="A232" s="16"/>
      <c r="B232" s="17"/>
      <c r="C232" s="201"/>
      <c r="D232" s="23"/>
      <c r="E232" s="112"/>
    </row>
    <row r="233" spans="1:5" ht="13.5">
      <c r="A233" s="24" t="s">
        <v>283</v>
      </c>
      <c r="B233" s="17"/>
      <c r="C233" s="201"/>
      <c r="D233" s="17"/>
      <c r="E233" s="18"/>
    </row>
    <row r="234" spans="1:5" ht="13.5">
      <c r="A234" s="16"/>
      <c r="B234" s="17" t="s">
        <v>284</v>
      </c>
      <c r="C234" s="201"/>
      <c r="D234" s="86">
        <v>8</v>
      </c>
      <c r="E234" s="87">
        <v>18</v>
      </c>
    </row>
    <row r="235" spans="1:5" ht="13.5">
      <c r="A235" s="16"/>
      <c r="B235" s="17" t="s">
        <v>285</v>
      </c>
      <c r="C235" s="201"/>
      <c r="D235" s="84">
        <v>1000</v>
      </c>
      <c r="E235" s="85">
        <v>1000</v>
      </c>
    </row>
    <row r="236" spans="1:5" ht="13.5">
      <c r="A236" s="16"/>
      <c r="B236" s="17" t="s">
        <v>286</v>
      </c>
      <c r="C236" s="201"/>
      <c r="D236" s="76">
        <v>0.5</v>
      </c>
      <c r="E236" s="18"/>
    </row>
    <row r="237" spans="1:5" ht="13.5">
      <c r="A237" s="16"/>
      <c r="B237" s="17"/>
      <c r="C237" s="201"/>
      <c r="D237" s="17"/>
      <c r="E237" s="18"/>
    </row>
    <row r="238" spans="1:5" ht="15" thickBot="1">
      <c r="A238" s="19"/>
      <c r="B238" s="20"/>
      <c r="C238" s="20"/>
      <c r="D238" s="20"/>
      <c r="E238" s="21"/>
    </row>
    <row r="240" spans="3:5" ht="13.5">
      <c r="C240" s="169" t="s">
        <v>196</v>
      </c>
      <c r="D240" s="169" t="s">
        <v>197</v>
      </c>
      <c r="E240" s="169" t="s">
        <v>198</v>
      </c>
    </row>
    <row r="242" spans="1:43" ht="13.5">
      <c r="A242" s="25" t="s">
        <v>517</v>
      </c>
      <c r="C242" s="23"/>
      <c r="D242" s="23">
        <f>SUM(D243:D245)</f>
        <v>264000</v>
      </c>
      <c r="E242" s="23">
        <f>SUM(E243:E245)</f>
        <v>480000</v>
      </c>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row>
    <row r="243" spans="2:43" ht="13.5">
      <c r="B243" s="25" t="s">
        <v>287</v>
      </c>
      <c r="C243" s="23"/>
      <c r="D243" s="23">
        <f>D222*D227*D228</f>
        <v>81000</v>
      </c>
      <c r="E243" s="23">
        <f>E222*E227*E228</f>
        <v>81000</v>
      </c>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row>
    <row r="244" spans="2:43" ht="13.5">
      <c r="B244" s="25" t="s">
        <v>288</v>
      </c>
      <c r="C244" s="23"/>
      <c r="D244" s="23">
        <f>D225*D230*D231</f>
        <v>135000</v>
      </c>
      <c r="E244" s="23">
        <f>E225*E230*E231</f>
        <v>135000</v>
      </c>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row>
    <row r="245" spans="2:43" ht="13.5">
      <c r="B245" s="25" t="s">
        <v>289</v>
      </c>
      <c r="C245" s="23"/>
      <c r="D245" s="23">
        <f>D234*(D235*12)*D236</f>
        <v>48000</v>
      </c>
      <c r="E245" s="23">
        <f>(D234*(D235*12)*D236)+(E234*(E235*12))</f>
        <v>264000</v>
      </c>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row>
    <row r="246" ht="13.5">
      <c r="C246" s="183"/>
    </row>
    <row r="249" ht="13.5">
      <c r="A249" s="99" t="s">
        <v>290</v>
      </c>
    </row>
    <row r="250" spans="1:2" ht="13.5">
      <c r="A250" s="99"/>
      <c r="B250" s="164" t="s">
        <v>291</v>
      </c>
    </row>
    <row r="251" spans="1:2" ht="13.5">
      <c r="A251" s="99"/>
      <c r="B251" s="164" t="s">
        <v>292</v>
      </c>
    </row>
    <row r="252" ht="15" thickBot="1"/>
    <row r="253" spans="1:6" ht="13.5">
      <c r="A253" s="70" t="s">
        <v>408</v>
      </c>
      <c r="B253" s="71"/>
      <c r="C253" s="71"/>
      <c r="D253" s="71"/>
      <c r="E253" s="330"/>
      <c r="F253" s="167"/>
    </row>
    <row r="254" spans="1:5" ht="13.5">
      <c r="A254" s="16"/>
      <c r="B254" s="48"/>
      <c r="C254" s="55" t="s">
        <v>196</v>
      </c>
      <c r="D254" s="55" t="s">
        <v>197</v>
      </c>
      <c r="E254" s="130" t="s">
        <v>198</v>
      </c>
    </row>
    <row r="255" spans="1:5" ht="13.5">
      <c r="A255" s="16"/>
      <c r="B255" s="48"/>
      <c r="C255" s="55"/>
      <c r="D255" s="55"/>
      <c r="E255" s="130"/>
    </row>
    <row r="256" spans="1:5" ht="13.5">
      <c r="A256" s="16"/>
      <c r="B256" s="48" t="s">
        <v>271</v>
      </c>
      <c r="C256" s="201"/>
      <c r="D256" s="86">
        <v>2</v>
      </c>
      <c r="E256" s="87">
        <v>1</v>
      </c>
    </row>
    <row r="257" spans="1:5" ht="13.5">
      <c r="A257" s="16"/>
      <c r="B257" s="48" t="s">
        <v>395</v>
      </c>
      <c r="C257" s="201"/>
      <c r="D257" s="86"/>
      <c r="E257" s="87">
        <v>2</v>
      </c>
    </row>
    <row r="258" spans="1:5" ht="13.5">
      <c r="A258" s="16"/>
      <c r="B258" s="48" t="s">
        <v>270</v>
      </c>
      <c r="C258" s="201"/>
      <c r="D258" s="201">
        <f>D256+D257</f>
        <v>2</v>
      </c>
      <c r="E258" s="202">
        <f>E256+E257</f>
        <v>3</v>
      </c>
    </row>
    <row r="259" spans="1:5" ht="13.5">
      <c r="A259" s="16"/>
      <c r="B259" s="48"/>
      <c r="C259" s="55"/>
      <c r="D259" s="55"/>
      <c r="E259" s="130"/>
    </row>
    <row r="260" spans="1:5" ht="13.5">
      <c r="A260" s="16"/>
      <c r="B260" s="48" t="s">
        <v>399</v>
      </c>
      <c r="C260" s="55"/>
      <c r="D260" s="173">
        <f>D30</f>
        <v>300000</v>
      </c>
      <c r="E260" s="174">
        <f>E30</f>
        <v>300000</v>
      </c>
    </row>
    <row r="261" spans="1:5" ht="13.5">
      <c r="A261" s="16"/>
      <c r="B261" s="48" t="s">
        <v>293</v>
      </c>
      <c r="C261" s="55"/>
      <c r="D261" s="76">
        <v>0.05</v>
      </c>
      <c r="E261" s="69">
        <v>0.05</v>
      </c>
    </row>
    <row r="262" spans="1:5" ht="13.5">
      <c r="A262" s="16"/>
      <c r="B262" s="48" t="s">
        <v>294</v>
      </c>
      <c r="C262" s="55"/>
      <c r="D262" s="201">
        <f>D260*D261</f>
        <v>15000</v>
      </c>
      <c r="E262" s="202">
        <f>E260*E261</f>
        <v>15000</v>
      </c>
    </row>
    <row r="263" spans="1:5" ht="13.5">
      <c r="A263" s="16"/>
      <c r="B263" s="48"/>
      <c r="C263" s="55"/>
      <c r="D263" s="201"/>
      <c r="E263" s="202"/>
    </row>
    <row r="264" spans="1:5" ht="13.5">
      <c r="A264" s="16"/>
      <c r="B264" s="48" t="s">
        <v>77</v>
      </c>
      <c r="C264" s="55"/>
      <c r="D264" s="76">
        <v>0.02</v>
      </c>
      <c r="E264" s="69">
        <v>0.02</v>
      </c>
    </row>
    <row r="265" spans="1:5" ht="13.5">
      <c r="A265" s="16"/>
      <c r="B265" s="48" t="s">
        <v>78</v>
      </c>
      <c r="C265" s="55"/>
      <c r="D265" s="173">
        <f>D262*D264</f>
        <v>300</v>
      </c>
      <c r="E265" s="174">
        <f>E262*E264</f>
        <v>300</v>
      </c>
    </row>
    <row r="266" spans="1:5" ht="13.5">
      <c r="A266" s="16"/>
      <c r="B266" s="48"/>
      <c r="C266" s="55"/>
      <c r="D266" s="55"/>
      <c r="E266" s="130"/>
    </row>
    <row r="267" spans="1:5" ht="13.5">
      <c r="A267" s="16"/>
      <c r="B267" s="17" t="s">
        <v>79</v>
      </c>
      <c r="C267" s="55"/>
      <c r="D267" s="84">
        <v>200</v>
      </c>
      <c r="E267" s="85">
        <v>200</v>
      </c>
    </row>
    <row r="268" spans="1:5" ht="13.5">
      <c r="A268" s="16"/>
      <c r="B268" s="17"/>
      <c r="C268" s="55"/>
      <c r="D268" s="17"/>
      <c r="E268" s="18"/>
    </row>
    <row r="269" spans="1:5" ht="15" thickBot="1">
      <c r="A269" s="19"/>
      <c r="B269" s="20"/>
      <c r="C269" s="20"/>
      <c r="D269" s="20"/>
      <c r="E269" s="21"/>
    </row>
    <row r="271" spans="3:5" ht="13.5">
      <c r="C271" s="169" t="s">
        <v>196</v>
      </c>
      <c r="D271" s="169" t="s">
        <v>197</v>
      </c>
      <c r="E271" s="169" t="s">
        <v>198</v>
      </c>
    </row>
    <row r="273" spans="1:5" ht="13.5">
      <c r="A273" s="25" t="s">
        <v>518</v>
      </c>
      <c r="C273" s="23"/>
      <c r="D273" s="23">
        <f>D258*D265*D267</f>
        <v>120000</v>
      </c>
      <c r="E273" s="23">
        <f>E258*E265*E267</f>
        <v>180000</v>
      </c>
    </row>
    <row r="277" spans="1:2" ht="13.5">
      <c r="A277" s="197" t="s">
        <v>80</v>
      </c>
      <c r="B277" s="167"/>
    </row>
    <row r="278" spans="1:2" ht="13.5">
      <c r="A278" s="99"/>
      <c r="B278" s="25" t="s">
        <v>81</v>
      </c>
    </row>
    <row r="279" spans="1:2" ht="13.5">
      <c r="A279" s="99"/>
      <c r="B279" s="164" t="s">
        <v>188</v>
      </c>
    </row>
    <row r="280" spans="1:2" ht="13.5">
      <c r="A280" s="99"/>
      <c r="B280" s="25" t="s">
        <v>189</v>
      </c>
    </row>
    <row r="281" spans="1:2" ht="13.5">
      <c r="A281" s="99"/>
      <c r="B281" s="164" t="s">
        <v>82</v>
      </c>
    </row>
    <row r="282" ht="15" thickBot="1"/>
    <row r="283" spans="1:8" ht="13.5">
      <c r="A283" s="70" t="s">
        <v>408</v>
      </c>
      <c r="B283" s="71"/>
      <c r="C283" s="71"/>
      <c r="D283" s="71"/>
      <c r="E283" s="330"/>
      <c r="F283" s="167"/>
      <c r="H283" s="164"/>
    </row>
    <row r="284" spans="1:5" ht="13.5">
      <c r="A284" s="16"/>
      <c r="B284" s="48"/>
      <c r="C284" s="55" t="s">
        <v>196</v>
      </c>
      <c r="D284" s="55" t="s">
        <v>197</v>
      </c>
      <c r="E284" s="130" t="s">
        <v>198</v>
      </c>
    </row>
    <row r="285" spans="1:5" ht="13.5">
      <c r="A285" s="16"/>
      <c r="B285" s="185" t="s">
        <v>399</v>
      </c>
      <c r="C285" s="185"/>
      <c r="D285" s="172"/>
      <c r="E285" s="174">
        <f>E30</f>
        <v>300000</v>
      </c>
    </row>
    <row r="286" spans="1:5" ht="13.5">
      <c r="A286" s="16"/>
      <c r="B286" s="185" t="s">
        <v>83</v>
      </c>
      <c r="C286" s="185"/>
      <c r="D286" s="172"/>
      <c r="E286" s="335">
        <v>0.0001</v>
      </c>
    </row>
    <row r="287" spans="1:5" ht="13.5">
      <c r="A287" s="16"/>
      <c r="B287" s="185" t="s">
        <v>84</v>
      </c>
      <c r="C287" s="185"/>
      <c r="D287" s="172"/>
      <c r="E287" s="174">
        <f>E285*E286</f>
        <v>30</v>
      </c>
    </row>
    <row r="288" spans="1:5" ht="13.5">
      <c r="A288" s="16"/>
      <c r="B288" s="185" t="s">
        <v>85</v>
      </c>
      <c r="C288" s="185"/>
      <c r="D288" s="172"/>
      <c r="E288" s="336">
        <v>0.05</v>
      </c>
    </row>
    <row r="289" spans="1:5" ht="13.5">
      <c r="A289" s="16"/>
      <c r="B289" s="185" t="s">
        <v>86</v>
      </c>
      <c r="C289" s="185"/>
      <c r="D289" s="172"/>
      <c r="E289" s="336">
        <v>0.2</v>
      </c>
    </row>
    <row r="290" spans="1:5" ht="13.5">
      <c r="A290" s="16"/>
      <c r="B290" s="185" t="s">
        <v>87</v>
      </c>
      <c r="C290" s="185"/>
      <c r="D290" s="172"/>
      <c r="E290" s="336">
        <v>0.75</v>
      </c>
    </row>
    <row r="291" spans="1:5" ht="13.5">
      <c r="A291" s="16"/>
      <c r="B291" s="185"/>
      <c r="C291" s="185"/>
      <c r="D291" s="172"/>
      <c r="E291" s="203"/>
    </row>
    <row r="292" spans="1:5" ht="13.5">
      <c r="A292" s="16"/>
      <c r="B292" s="185" t="s">
        <v>88</v>
      </c>
      <c r="C292" s="185"/>
      <c r="D292" s="172"/>
      <c r="E292" s="335">
        <v>0.0005</v>
      </c>
    </row>
    <row r="293" spans="1:5" ht="13.5">
      <c r="A293" s="16"/>
      <c r="B293" s="185" t="s">
        <v>89</v>
      </c>
      <c r="C293" s="185"/>
      <c r="D293" s="172"/>
      <c r="E293" s="174">
        <f>E285*E292</f>
        <v>150</v>
      </c>
    </row>
    <row r="294" spans="1:5" ht="13.5">
      <c r="A294" s="16"/>
      <c r="B294" s="185" t="s">
        <v>90</v>
      </c>
      <c r="C294" s="185"/>
      <c r="D294" s="172"/>
      <c r="E294" s="336">
        <v>0.05</v>
      </c>
    </row>
    <row r="295" spans="1:5" ht="13.5">
      <c r="A295" s="16"/>
      <c r="B295" s="185" t="s">
        <v>91</v>
      </c>
      <c r="C295" s="185"/>
      <c r="D295" s="172"/>
      <c r="E295" s="336">
        <v>0.2</v>
      </c>
    </row>
    <row r="296" spans="1:5" ht="13.5">
      <c r="A296" s="16"/>
      <c r="B296" s="185" t="s">
        <v>92</v>
      </c>
      <c r="C296" s="185"/>
      <c r="D296" s="172"/>
      <c r="E296" s="336">
        <v>0.75</v>
      </c>
    </row>
    <row r="297" spans="1:5" ht="13.5">
      <c r="A297" s="16"/>
      <c r="B297" s="185"/>
      <c r="C297" s="185"/>
      <c r="D297" s="172"/>
      <c r="E297" s="203"/>
    </row>
    <row r="298" spans="1:5" ht="13.5">
      <c r="A298" s="16"/>
      <c r="B298" s="185" t="s">
        <v>93</v>
      </c>
      <c r="C298" s="185"/>
      <c r="D298" s="172"/>
      <c r="E298" s="337">
        <v>0.001</v>
      </c>
    </row>
    <row r="299" spans="1:5" ht="13.5">
      <c r="A299" s="16"/>
      <c r="B299" s="185" t="s">
        <v>228</v>
      </c>
      <c r="C299" s="185"/>
      <c r="D299" s="172"/>
      <c r="E299" s="174">
        <f>E285*E298</f>
        <v>300</v>
      </c>
    </row>
    <row r="300" spans="1:5" ht="13.5">
      <c r="A300" s="16"/>
      <c r="B300" s="185"/>
      <c r="C300" s="185"/>
      <c r="D300" s="172"/>
      <c r="E300" s="203"/>
    </row>
    <row r="301" spans="1:5" ht="13.5">
      <c r="A301" s="16"/>
      <c r="B301" s="185" t="s">
        <v>94</v>
      </c>
      <c r="C301" s="185"/>
      <c r="D301" s="172"/>
      <c r="E301" s="203"/>
    </row>
    <row r="302" spans="1:5" ht="13.5">
      <c r="A302" s="16"/>
      <c r="B302" s="185" t="s">
        <v>95</v>
      </c>
      <c r="C302" s="185"/>
      <c r="D302" s="172"/>
      <c r="E302" s="338">
        <v>500</v>
      </c>
    </row>
    <row r="303" spans="1:5" ht="13.5">
      <c r="A303" s="16"/>
      <c r="B303" s="185" t="s">
        <v>96</v>
      </c>
      <c r="C303" s="185"/>
      <c r="D303" s="172"/>
      <c r="E303" s="338">
        <v>200</v>
      </c>
    </row>
    <row r="304" spans="1:8" ht="13.5">
      <c r="A304" s="16"/>
      <c r="B304" s="185" t="s">
        <v>97</v>
      </c>
      <c r="C304" s="185"/>
      <c r="D304" s="172"/>
      <c r="E304" s="338">
        <v>200</v>
      </c>
      <c r="H304" s="164"/>
    </row>
    <row r="305" spans="1:8" ht="13.5">
      <c r="A305" s="16"/>
      <c r="B305" s="185"/>
      <c r="C305" s="185"/>
      <c r="D305" s="172"/>
      <c r="E305" s="203"/>
      <c r="H305" s="164"/>
    </row>
    <row r="306" spans="1:8" ht="13.5">
      <c r="A306" s="16"/>
      <c r="B306" s="185" t="s">
        <v>98</v>
      </c>
      <c r="C306" s="185"/>
      <c r="D306" s="172"/>
      <c r="E306" s="203"/>
      <c r="H306" s="164"/>
    </row>
    <row r="307" spans="1:8" ht="13.5">
      <c r="A307" s="16"/>
      <c r="B307" s="185" t="s">
        <v>95</v>
      </c>
      <c r="C307" s="185"/>
      <c r="D307" s="172"/>
      <c r="E307" s="338">
        <v>500</v>
      </c>
      <c r="H307" s="164"/>
    </row>
    <row r="308" spans="1:8" ht="13.5">
      <c r="A308" s="16"/>
      <c r="B308" s="185" t="s">
        <v>96</v>
      </c>
      <c r="C308" s="185"/>
      <c r="D308" s="172"/>
      <c r="E308" s="338">
        <v>200</v>
      </c>
      <c r="F308" s="170"/>
      <c r="H308" s="164"/>
    </row>
    <row r="309" spans="1:5" ht="13.5">
      <c r="A309" s="16"/>
      <c r="B309" s="185" t="s">
        <v>97</v>
      </c>
      <c r="C309" s="185"/>
      <c r="D309" s="172"/>
      <c r="E309" s="338">
        <v>200</v>
      </c>
    </row>
    <row r="310" spans="1:5" ht="13.5">
      <c r="A310" s="16"/>
      <c r="B310" s="17"/>
      <c r="C310" s="185"/>
      <c r="D310" s="172"/>
      <c r="E310" s="18"/>
    </row>
    <row r="311" spans="1:5" ht="13.5">
      <c r="A311" s="16"/>
      <c r="B311" s="17" t="s">
        <v>28</v>
      </c>
      <c r="C311" s="185"/>
      <c r="D311" s="172"/>
      <c r="E311" s="338">
        <v>200</v>
      </c>
    </row>
    <row r="312" spans="1:5" ht="13.5">
      <c r="A312" s="16"/>
      <c r="B312" s="17"/>
      <c r="C312" s="185"/>
      <c r="D312" s="172"/>
      <c r="E312" s="18"/>
    </row>
    <row r="313" spans="1:5" ht="15" thickBot="1">
      <c r="A313" s="19"/>
      <c r="B313" s="20"/>
      <c r="C313" s="20"/>
      <c r="D313" s="20"/>
      <c r="E313" s="21"/>
    </row>
    <row r="315" spans="3:5" ht="13.5">
      <c r="C315" s="169" t="s">
        <v>196</v>
      </c>
      <c r="D315" s="169" t="s">
        <v>197</v>
      </c>
      <c r="E315" s="169" t="s">
        <v>198</v>
      </c>
    </row>
    <row r="316" ht="13.5">
      <c r="A316" s="99"/>
    </row>
    <row r="317" spans="1:43" ht="13.5">
      <c r="A317" s="25" t="s">
        <v>519</v>
      </c>
      <c r="C317" s="23"/>
      <c r="D317" s="23"/>
      <c r="E317" s="23">
        <f>SUM(E318:E320)</f>
        <v>98700</v>
      </c>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row>
    <row r="318" spans="2:43" ht="13.5">
      <c r="B318" s="25" t="s">
        <v>99</v>
      </c>
      <c r="C318" s="23"/>
      <c r="D318" s="23"/>
      <c r="E318" s="23">
        <f>(E285*E286*E288*E302)+(E285*E286*E289*E303)+(E285*E286*E290*E304)</f>
        <v>6450</v>
      </c>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row>
    <row r="319" spans="2:43" ht="13.5">
      <c r="B319" s="25" t="s">
        <v>100</v>
      </c>
      <c r="C319" s="23"/>
      <c r="D319" s="23"/>
      <c r="E319" s="23">
        <f>(E285*E292*E294*E307)+(E285*E292*E295*E308)+(E285*E292*E296*E309)</f>
        <v>32250</v>
      </c>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row>
    <row r="320" spans="2:43" ht="13.5">
      <c r="B320" s="25" t="s">
        <v>101</v>
      </c>
      <c r="C320" s="23"/>
      <c r="D320" s="23"/>
      <c r="E320" s="23">
        <f>(E285*E298*E311)</f>
        <v>60000</v>
      </c>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row>
    <row r="321" spans="1:3" ht="13.5">
      <c r="A321" s="99"/>
      <c r="C321" s="136"/>
    </row>
    <row r="324" ht="13.5">
      <c r="A324" s="99" t="s">
        <v>102</v>
      </c>
    </row>
    <row r="325" spans="1:2" ht="13.5">
      <c r="A325" s="99"/>
      <c r="B325" s="25" t="s">
        <v>398</v>
      </c>
    </row>
    <row r="326" spans="1:2" ht="13.5">
      <c r="A326" s="99"/>
      <c r="B326" s="164" t="s">
        <v>103</v>
      </c>
    </row>
    <row r="327" spans="1:2" ht="13.5">
      <c r="A327" s="99"/>
      <c r="B327" s="164" t="s">
        <v>210</v>
      </c>
    </row>
    <row r="328" ht="15" thickBot="1"/>
    <row r="329" spans="1:5" ht="13.5">
      <c r="A329" s="70" t="s">
        <v>408</v>
      </c>
      <c r="B329" s="71"/>
      <c r="C329" s="71"/>
      <c r="D329" s="71"/>
      <c r="E329" s="330"/>
    </row>
    <row r="330" spans="1:5" ht="13.5">
      <c r="A330" s="16"/>
      <c r="B330" s="48"/>
      <c r="C330" s="55" t="s">
        <v>196</v>
      </c>
      <c r="D330" s="55" t="s">
        <v>197</v>
      </c>
      <c r="E330" s="130" t="s">
        <v>198</v>
      </c>
    </row>
    <row r="331" spans="1:43" ht="13.5">
      <c r="A331" s="16"/>
      <c r="B331" s="17" t="s">
        <v>399</v>
      </c>
      <c r="C331" s="11"/>
      <c r="D331" s="11"/>
      <c r="E331" s="174">
        <f>E30</f>
        <v>300000</v>
      </c>
      <c r="F331" s="182"/>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row>
    <row r="332" spans="1:6" ht="13.5">
      <c r="A332" s="16"/>
      <c r="B332" s="17" t="s">
        <v>211</v>
      </c>
      <c r="C332" s="11"/>
      <c r="D332" s="11"/>
      <c r="E332" s="69">
        <v>0.05</v>
      </c>
      <c r="F332" s="182"/>
    </row>
    <row r="333" spans="1:6" s="167" customFormat="1" ht="13.5">
      <c r="A333" s="131"/>
      <c r="B333" s="8"/>
      <c r="C333" s="173"/>
      <c r="D333" s="173"/>
      <c r="E333" s="9"/>
      <c r="F333" s="339"/>
    </row>
    <row r="334" spans="1:5" ht="13.5">
      <c r="A334" s="16"/>
      <c r="B334" s="17"/>
      <c r="C334" s="11"/>
      <c r="D334" s="11"/>
      <c r="E334" s="166"/>
    </row>
    <row r="335" spans="1:5" ht="13.5">
      <c r="A335" s="16"/>
      <c r="B335" s="17" t="s">
        <v>330</v>
      </c>
      <c r="C335" s="11"/>
      <c r="D335" s="11"/>
      <c r="E335" s="87">
        <v>2</v>
      </c>
    </row>
    <row r="336" spans="1:5" ht="13.5">
      <c r="A336" s="16"/>
      <c r="B336" s="17" t="s">
        <v>331</v>
      </c>
      <c r="C336" s="11"/>
      <c r="D336" s="11"/>
      <c r="E336" s="87">
        <v>300</v>
      </c>
    </row>
    <row r="337" spans="1:5" ht="13.5">
      <c r="A337" s="16"/>
      <c r="B337" s="17" t="s">
        <v>332</v>
      </c>
      <c r="C337" s="11"/>
      <c r="D337" s="11"/>
      <c r="E337" s="75">
        <v>0.05</v>
      </c>
    </row>
    <row r="338" spans="1:5" ht="13.5">
      <c r="A338" s="16"/>
      <c r="B338" s="17"/>
      <c r="C338" s="17"/>
      <c r="D338" s="17"/>
      <c r="E338" s="18"/>
    </row>
    <row r="339" spans="1:5" ht="15" thickBot="1">
      <c r="A339" s="19"/>
      <c r="B339" s="20"/>
      <c r="C339" s="20"/>
      <c r="D339" s="20"/>
      <c r="E339" s="21"/>
    </row>
    <row r="341" spans="3:5" ht="13.5">
      <c r="C341" s="169" t="s">
        <v>196</v>
      </c>
      <c r="D341" s="169" t="s">
        <v>197</v>
      </c>
      <c r="E341" s="169" t="s">
        <v>198</v>
      </c>
    </row>
    <row r="342" ht="13.5">
      <c r="A342" s="99"/>
    </row>
    <row r="343" spans="1:43" ht="13.5">
      <c r="A343" s="25" t="s">
        <v>520</v>
      </c>
      <c r="C343" s="23"/>
      <c r="D343" s="23"/>
      <c r="E343" s="23">
        <f>E331*E332*E335*E336*E337</f>
        <v>450000</v>
      </c>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2:AS135"/>
  <sheetViews>
    <sheetView zoomScale="110" zoomScaleNormal="110" workbookViewId="0" topLeftCell="A100">
      <selection activeCell="I127" sqref="I127"/>
    </sheetView>
  </sheetViews>
  <sheetFormatPr defaultColWidth="11.57421875" defaultRowHeight="12.75"/>
  <cols>
    <col min="1" max="1" width="3.140625" style="25" customWidth="1"/>
    <col min="2" max="2" width="29.7109375" style="25" customWidth="1"/>
    <col min="3" max="3" width="12.7109375" style="25" customWidth="1"/>
    <col min="4" max="4" width="12.140625" style="25" customWidth="1"/>
    <col min="5" max="5" width="12.28125" style="25" customWidth="1"/>
    <col min="6" max="6" width="33.7109375" style="25" customWidth="1"/>
    <col min="7" max="7" width="4.421875" style="25" customWidth="1"/>
    <col min="8" max="8" width="11.710937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2" spans="1:43" ht="13.5">
      <c r="A2" s="270" t="s">
        <v>353</v>
      </c>
      <c r="B2" s="231"/>
      <c r="C2" s="327" t="s">
        <v>196</v>
      </c>
      <c r="D2" s="327" t="s">
        <v>197</v>
      </c>
      <c r="E2" s="327" t="s">
        <v>198</v>
      </c>
      <c r="F2" s="328" t="s">
        <v>207</v>
      </c>
      <c r="H2" s="53" t="s">
        <v>196</v>
      </c>
      <c r="I2" s="54"/>
      <c r="J2" s="54"/>
      <c r="K2" s="54"/>
      <c r="L2" s="54"/>
      <c r="M2" s="54"/>
      <c r="N2" s="54"/>
      <c r="O2" s="54"/>
      <c r="P2" s="54"/>
      <c r="Q2" s="54"/>
      <c r="R2" s="54"/>
      <c r="S2" s="39"/>
      <c r="T2" s="53" t="s">
        <v>197</v>
      </c>
      <c r="U2" s="54"/>
      <c r="V2" s="54"/>
      <c r="W2" s="54"/>
      <c r="X2" s="54"/>
      <c r="Y2" s="54"/>
      <c r="Z2" s="54"/>
      <c r="AA2" s="54"/>
      <c r="AB2" s="54"/>
      <c r="AC2" s="54"/>
      <c r="AD2" s="54"/>
      <c r="AE2" s="39"/>
      <c r="AF2" s="53" t="s">
        <v>198</v>
      </c>
      <c r="AG2" s="54"/>
      <c r="AH2" s="54"/>
      <c r="AI2" s="54"/>
      <c r="AJ2" s="54"/>
      <c r="AK2" s="54"/>
      <c r="AL2" s="54"/>
      <c r="AM2" s="54"/>
      <c r="AN2" s="54"/>
      <c r="AO2" s="54"/>
      <c r="AP2" s="54"/>
      <c r="AQ2" s="39"/>
    </row>
    <row r="3" spans="1:43" ht="13.5">
      <c r="A3" s="32"/>
      <c r="B3" s="26"/>
      <c r="C3" s="26"/>
      <c r="D3" s="26"/>
      <c r="E3" s="26"/>
      <c r="F3" s="108"/>
      <c r="H3" s="40" t="s">
        <v>200</v>
      </c>
      <c r="I3" s="41" t="s">
        <v>201</v>
      </c>
      <c r="J3" s="41" t="s">
        <v>202</v>
      </c>
      <c r="K3" s="41" t="s">
        <v>203</v>
      </c>
      <c r="L3" s="41" t="s">
        <v>477</v>
      </c>
      <c r="M3" s="41" t="s">
        <v>357</v>
      </c>
      <c r="N3" s="41" t="s">
        <v>358</v>
      </c>
      <c r="O3" s="41" t="s">
        <v>359</v>
      </c>
      <c r="P3" s="41" t="s">
        <v>360</v>
      </c>
      <c r="Q3" s="41" t="s">
        <v>361</v>
      </c>
      <c r="R3" s="41" t="s">
        <v>362</v>
      </c>
      <c r="S3" s="41" t="s">
        <v>363</v>
      </c>
      <c r="T3" s="41" t="s">
        <v>200</v>
      </c>
      <c r="U3" s="41" t="s">
        <v>201</v>
      </c>
      <c r="V3" s="41" t="s">
        <v>202</v>
      </c>
      <c r="W3" s="41" t="s">
        <v>203</v>
      </c>
      <c r="X3" s="41" t="s">
        <v>477</v>
      </c>
      <c r="Y3" s="41" t="s">
        <v>357</v>
      </c>
      <c r="Z3" s="41" t="s">
        <v>358</v>
      </c>
      <c r="AA3" s="41" t="s">
        <v>359</v>
      </c>
      <c r="AB3" s="41" t="s">
        <v>360</v>
      </c>
      <c r="AC3" s="41" t="s">
        <v>361</v>
      </c>
      <c r="AD3" s="41" t="s">
        <v>362</v>
      </c>
      <c r="AE3" s="41" t="s">
        <v>363</v>
      </c>
      <c r="AF3" s="43" t="s">
        <v>200</v>
      </c>
      <c r="AG3" s="43" t="s">
        <v>201</v>
      </c>
      <c r="AH3" s="43" t="s">
        <v>202</v>
      </c>
      <c r="AI3" s="43" t="s">
        <v>203</v>
      </c>
      <c r="AJ3" s="43" t="s">
        <v>477</v>
      </c>
      <c r="AK3" s="43" t="s">
        <v>357</v>
      </c>
      <c r="AL3" s="43" t="s">
        <v>358</v>
      </c>
      <c r="AM3" s="43" t="s">
        <v>359</v>
      </c>
      <c r="AN3" s="43" t="s">
        <v>360</v>
      </c>
      <c r="AO3" s="43" t="s">
        <v>361</v>
      </c>
      <c r="AP3" s="43" t="s">
        <v>362</v>
      </c>
      <c r="AQ3" s="106" t="s">
        <v>363</v>
      </c>
    </row>
    <row r="4" spans="1:43" ht="13.5">
      <c r="A4" s="32" t="s">
        <v>514</v>
      </c>
      <c r="B4" s="156"/>
      <c r="C4" s="23">
        <f>C39</f>
        <v>836519.5833333334</v>
      </c>
      <c r="D4" s="23">
        <f>D39</f>
        <v>937992.5</v>
      </c>
      <c r="E4" s="23">
        <f>E39</f>
        <v>952480.625</v>
      </c>
      <c r="F4" s="108" t="str">
        <f>'Revenue - B-to-B'!F4</f>
        <v>year 1 launch</v>
      </c>
      <c r="H4" s="111">
        <f>C4/12</f>
        <v>69709.96527777778</v>
      </c>
      <c r="I4" s="23">
        <f aca="true" t="shared" si="0" ref="I4:S4">$C$4/12</f>
        <v>69709.96527777778</v>
      </c>
      <c r="J4" s="23">
        <f t="shared" si="0"/>
        <v>69709.96527777778</v>
      </c>
      <c r="K4" s="23">
        <f t="shared" si="0"/>
        <v>69709.96527777778</v>
      </c>
      <c r="L4" s="23">
        <f t="shared" si="0"/>
        <v>69709.96527777778</v>
      </c>
      <c r="M4" s="23">
        <f t="shared" si="0"/>
        <v>69709.96527777778</v>
      </c>
      <c r="N4" s="23">
        <f t="shared" si="0"/>
        <v>69709.96527777778</v>
      </c>
      <c r="O4" s="23">
        <f t="shared" si="0"/>
        <v>69709.96527777778</v>
      </c>
      <c r="P4" s="23">
        <f t="shared" si="0"/>
        <v>69709.96527777778</v>
      </c>
      <c r="Q4" s="23">
        <f t="shared" si="0"/>
        <v>69709.96527777778</v>
      </c>
      <c r="R4" s="23">
        <f t="shared" si="0"/>
        <v>69709.96527777778</v>
      </c>
      <c r="S4" s="23">
        <f t="shared" si="0"/>
        <v>69709.96527777778</v>
      </c>
      <c r="T4" s="23">
        <f aca="true" t="shared" si="1" ref="T4:AE4">$D$4/12</f>
        <v>78166.04166666667</v>
      </c>
      <c r="U4" s="23">
        <f t="shared" si="1"/>
        <v>78166.04166666667</v>
      </c>
      <c r="V4" s="23">
        <f t="shared" si="1"/>
        <v>78166.04166666667</v>
      </c>
      <c r="W4" s="23">
        <f t="shared" si="1"/>
        <v>78166.04166666667</v>
      </c>
      <c r="X4" s="23">
        <f t="shared" si="1"/>
        <v>78166.04166666667</v>
      </c>
      <c r="Y4" s="23">
        <f t="shared" si="1"/>
        <v>78166.04166666667</v>
      </c>
      <c r="Z4" s="23">
        <f t="shared" si="1"/>
        <v>78166.04166666667</v>
      </c>
      <c r="AA4" s="23">
        <f t="shared" si="1"/>
        <v>78166.04166666667</v>
      </c>
      <c r="AB4" s="23">
        <f t="shared" si="1"/>
        <v>78166.04166666667</v>
      </c>
      <c r="AC4" s="23">
        <f t="shared" si="1"/>
        <v>78166.04166666667</v>
      </c>
      <c r="AD4" s="23">
        <f t="shared" si="1"/>
        <v>78166.04166666667</v>
      </c>
      <c r="AE4" s="23">
        <f t="shared" si="1"/>
        <v>78166.04166666667</v>
      </c>
      <c r="AF4" s="23">
        <f aca="true" t="shared" si="2" ref="AF4:AQ4">$E$4/12</f>
        <v>79373.38541666667</v>
      </c>
      <c r="AG4" s="23">
        <f t="shared" si="2"/>
        <v>79373.38541666667</v>
      </c>
      <c r="AH4" s="23">
        <f t="shared" si="2"/>
        <v>79373.38541666667</v>
      </c>
      <c r="AI4" s="23">
        <f t="shared" si="2"/>
        <v>79373.38541666667</v>
      </c>
      <c r="AJ4" s="23">
        <f t="shared" si="2"/>
        <v>79373.38541666667</v>
      </c>
      <c r="AK4" s="23">
        <f t="shared" si="2"/>
        <v>79373.38541666667</v>
      </c>
      <c r="AL4" s="23">
        <f t="shared" si="2"/>
        <v>79373.38541666667</v>
      </c>
      <c r="AM4" s="23">
        <f t="shared" si="2"/>
        <v>79373.38541666667</v>
      </c>
      <c r="AN4" s="23">
        <f t="shared" si="2"/>
        <v>79373.38541666667</v>
      </c>
      <c r="AO4" s="23">
        <f t="shared" si="2"/>
        <v>79373.38541666667</v>
      </c>
      <c r="AP4" s="23">
        <f t="shared" si="2"/>
        <v>79373.38541666667</v>
      </c>
      <c r="AQ4" s="112">
        <f t="shared" si="2"/>
        <v>79373.38541666667</v>
      </c>
    </row>
    <row r="5" spans="1:43" ht="13.5">
      <c r="A5" s="32"/>
      <c r="B5" s="156"/>
      <c r="C5" s="26"/>
      <c r="D5" s="26"/>
      <c r="E5" s="26"/>
      <c r="F5" s="108"/>
      <c r="H5" s="32"/>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108"/>
    </row>
    <row r="6" spans="1:45" ht="13.5">
      <c r="A6" s="32" t="s">
        <v>183</v>
      </c>
      <c r="B6" s="26"/>
      <c r="C6" s="23">
        <f>C53</f>
        <v>527833.3333333334</v>
      </c>
      <c r="D6" s="23">
        <f>D53</f>
        <v>705500</v>
      </c>
      <c r="E6" s="23">
        <f>E53</f>
        <v>889205</v>
      </c>
      <c r="F6" s="108" t="str">
        <f>'Revenue - B-to-B'!F6</f>
        <v>year 1 launch</v>
      </c>
      <c r="H6" s="111">
        <f>C6/12</f>
        <v>43986.11111111112</v>
      </c>
      <c r="I6" s="23">
        <f aca="true" t="shared" si="3" ref="I6:S6">$C$6/12</f>
        <v>43986.11111111112</v>
      </c>
      <c r="J6" s="23">
        <f t="shared" si="3"/>
        <v>43986.11111111112</v>
      </c>
      <c r="K6" s="23">
        <f t="shared" si="3"/>
        <v>43986.11111111112</v>
      </c>
      <c r="L6" s="23">
        <f t="shared" si="3"/>
        <v>43986.11111111112</v>
      </c>
      <c r="M6" s="23">
        <f t="shared" si="3"/>
        <v>43986.11111111112</v>
      </c>
      <c r="N6" s="23">
        <f t="shared" si="3"/>
        <v>43986.11111111112</v>
      </c>
      <c r="O6" s="23">
        <f t="shared" si="3"/>
        <v>43986.11111111112</v>
      </c>
      <c r="P6" s="23">
        <f t="shared" si="3"/>
        <v>43986.11111111112</v>
      </c>
      <c r="Q6" s="23">
        <f t="shared" si="3"/>
        <v>43986.11111111112</v>
      </c>
      <c r="R6" s="23">
        <f t="shared" si="3"/>
        <v>43986.11111111112</v>
      </c>
      <c r="S6" s="23">
        <f t="shared" si="3"/>
        <v>43986.11111111112</v>
      </c>
      <c r="T6" s="23">
        <f aca="true" t="shared" si="4" ref="T6:AE6">$D$6/12</f>
        <v>58791.666666666664</v>
      </c>
      <c r="U6" s="23">
        <f t="shared" si="4"/>
        <v>58791.666666666664</v>
      </c>
      <c r="V6" s="23">
        <f t="shared" si="4"/>
        <v>58791.666666666664</v>
      </c>
      <c r="W6" s="23">
        <f t="shared" si="4"/>
        <v>58791.666666666664</v>
      </c>
      <c r="X6" s="23">
        <f t="shared" si="4"/>
        <v>58791.666666666664</v>
      </c>
      <c r="Y6" s="23">
        <f t="shared" si="4"/>
        <v>58791.666666666664</v>
      </c>
      <c r="Z6" s="23">
        <f t="shared" si="4"/>
        <v>58791.666666666664</v>
      </c>
      <c r="AA6" s="23">
        <f t="shared" si="4"/>
        <v>58791.666666666664</v>
      </c>
      <c r="AB6" s="23">
        <f t="shared" si="4"/>
        <v>58791.666666666664</v>
      </c>
      <c r="AC6" s="23">
        <f t="shared" si="4"/>
        <v>58791.666666666664</v>
      </c>
      <c r="AD6" s="23">
        <f t="shared" si="4"/>
        <v>58791.666666666664</v>
      </c>
      <c r="AE6" s="23">
        <f t="shared" si="4"/>
        <v>58791.666666666664</v>
      </c>
      <c r="AF6" s="23">
        <f aca="true" t="shared" si="5" ref="AF6:AQ6">$E$6/12</f>
        <v>74100.41666666667</v>
      </c>
      <c r="AG6" s="23">
        <f t="shared" si="5"/>
        <v>74100.41666666667</v>
      </c>
      <c r="AH6" s="23">
        <f t="shared" si="5"/>
        <v>74100.41666666667</v>
      </c>
      <c r="AI6" s="23">
        <f t="shared" si="5"/>
        <v>74100.41666666667</v>
      </c>
      <c r="AJ6" s="23">
        <f t="shared" si="5"/>
        <v>74100.41666666667</v>
      </c>
      <c r="AK6" s="23">
        <f t="shared" si="5"/>
        <v>74100.41666666667</v>
      </c>
      <c r="AL6" s="23">
        <f t="shared" si="5"/>
        <v>74100.41666666667</v>
      </c>
      <c r="AM6" s="23">
        <f t="shared" si="5"/>
        <v>74100.41666666667</v>
      </c>
      <c r="AN6" s="23">
        <f t="shared" si="5"/>
        <v>74100.41666666667</v>
      </c>
      <c r="AO6" s="23">
        <f t="shared" si="5"/>
        <v>74100.41666666667</v>
      </c>
      <c r="AP6" s="23">
        <f t="shared" si="5"/>
        <v>74100.41666666667</v>
      </c>
      <c r="AQ6" s="112">
        <f t="shared" si="5"/>
        <v>74100.41666666667</v>
      </c>
      <c r="AR6" s="157"/>
      <c r="AS6" s="157"/>
    </row>
    <row r="7" spans="1:45" ht="13.5">
      <c r="A7" s="32"/>
      <c r="B7" s="26"/>
      <c r="C7" s="23"/>
      <c r="D7" s="23"/>
      <c r="E7" s="23"/>
      <c r="F7" s="108"/>
      <c r="H7" s="111"/>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112"/>
      <c r="AR7" s="157"/>
      <c r="AS7" s="157"/>
    </row>
    <row r="8" spans="1:43" ht="13.5">
      <c r="A8" s="32" t="s">
        <v>515</v>
      </c>
      <c r="B8" s="26"/>
      <c r="C8" s="23">
        <f>C67</f>
        <v>48466.333333333314</v>
      </c>
      <c r="D8" s="23">
        <f>D67</f>
        <v>192822.00000000003</v>
      </c>
      <c r="E8" s="23">
        <f>E67</f>
        <v>212368.50000000003</v>
      </c>
      <c r="F8" s="108" t="str">
        <f>'Revenue - B-to-B'!F8</f>
        <v>year 1 launch</v>
      </c>
      <c r="H8" s="111">
        <f>C8/12</f>
        <v>4038.8611111111095</v>
      </c>
      <c r="I8" s="23">
        <f aca="true" t="shared" si="6" ref="I8:S8">$C$8/12</f>
        <v>4038.8611111111095</v>
      </c>
      <c r="J8" s="23">
        <f t="shared" si="6"/>
        <v>4038.8611111111095</v>
      </c>
      <c r="K8" s="23">
        <f t="shared" si="6"/>
        <v>4038.8611111111095</v>
      </c>
      <c r="L8" s="23">
        <f t="shared" si="6"/>
        <v>4038.8611111111095</v>
      </c>
      <c r="M8" s="23">
        <f t="shared" si="6"/>
        <v>4038.8611111111095</v>
      </c>
      <c r="N8" s="23">
        <f t="shared" si="6"/>
        <v>4038.8611111111095</v>
      </c>
      <c r="O8" s="23">
        <f t="shared" si="6"/>
        <v>4038.8611111111095</v>
      </c>
      <c r="P8" s="23">
        <f t="shared" si="6"/>
        <v>4038.8611111111095</v>
      </c>
      <c r="Q8" s="23">
        <f t="shared" si="6"/>
        <v>4038.8611111111095</v>
      </c>
      <c r="R8" s="23">
        <f t="shared" si="6"/>
        <v>4038.8611111111095</v>
      </c>
      <c r="S8" s="23">
        <f t="shared" si="6"/>
        <v>4038.8611111111095</v>
      </c>
      <c r="T8" s="23">
        <f aca="true" t="shared" si="7" ref="T8:AE8">$D$8/12</f>
        <v>16068.500000000002</v>
      </c>
      <c r="U8" s="23">
        <f t="shared" si="7"/>
        <v>16068.500000000002</v>
      </c>
      <c r="V8" s="23">
        <f t="shared" si="7"/>
        <v>16068.500000000002</v>
      </c>
      <c r="W8" s="23">
        <f t="shared" si="7"/>
        <v>16068.500000000002</v>
      </c>
      <c r="X8" s="23">
        <f t="shared" si="7"/>
        <v>16068.500000000002</v>
      </c>
      <c r="Y8" s="23">
        <f t="shared" si="7"/>
        <v>16068.500000000002</v>
      </c>
      <c r="Z8" s="23">
        <f t="shared" si="7"/>
        <v>16068.500000000002</v>
      </c>
      <c r="AA8" s="23">
        <f t="shared" si="7"/>
        <v>16068.500000000002</v>
      </c>
      <c r="AB8" s="23">
        <f t="shared" si="7"/>
        <v>16068.500000000002</v>
      </c>
      <c r="AC8" s="23">
        <f t="shared" si="7"/>
        <v>16068.500000000002</v>
      </c>
      <c r="AD8" s="23">
        <f t="shared" si="7"/>
        <v>16068.500000000002</v>
      </c>
      <c r="AE8" s="23">
        <f t="shared" si="7"/>
        <v>16068.500000000002</v>
      </c>
      <c r="AF8" s="23">
        <f aca="true" t="shared" si="8" ref="AF8:AQ8">$E$8/12</f>
        <v>17697.375000000004</v>
      </c>
      <c r="AG8" s="23">
        <f t="shared" si="8"/>
        <v>17697.375000000004</v>
      </c>
      <c r="AH8" s="23">
        <f t="shared" si="8"/>
        <v>17697.375000000004</v>
      </c>
      <c r="AI8" s="23">
        <f t="shared" si="8"/>
        <v>17697.375000000004</v>
      </c>
      <c r="AJ8" s="23">
        <f t="shared" si="8"/>
        <v>17697.375000000004</v>
      </c>
      <c r="AK8" s="23">
        <f t="shared" si="8"/>
        <v>17697.375000000004</v>
      </c>
      <c r="AL8" s="23">
        <f t="shared" si="8"/>
        <v>17697.375000000004</v>
      </c>
      <c r="AM8" s="23">
        <f t="shared" si="8"/>
        <v>17697.375000000004</v>
      </c>
      <c r="AN8" s="23">
        <f t="shared" si="8"/>
        <v>17697.375000000004</v>
      </c>
      <c r="AO8" s="23">
        <f t="shared" si="8"/>
        <v>17697.375000000004</v>
      </c>
      <c r="AP8" s="23">
        <f t="shared" si="8"/>
        <v>17697.375000000004</v>
      </c>
      <c r="AQ8" s="112">
        <f t="shared" si="8"/>
        <v>17697.375000000004</v>
      </c>
    </row>
    <row r="9" spans="1:43" ht="13.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3" ht="13.5">
      <c r="A10" s="32" t="s">
        <v>516</v>
      </c>
      <c r="B10" s="26"/>
      <c r="C10" s="23">
        <f>C83</f>
        <v>0</v>
      </c>
      <c r="D10" s="23">
        <f>D83</f>
        <v>0</v>
      </c>
      <c r="E10" s="23">
        <f>E83</f>
        <v>0</v>
      </c>
      <c r="F10" s="108" t="str">
        <f>'Revenue - B-to-B'!F10</f>
        <v>Don't do due to strong competition</v>
      </c>
      <c r="H10" s="111">
        <f>C10/12</f>
        <v>0</v>
      </c>
      <c r="I10" s="23">
        <f aca="true" t="shared" si="9" ref="I10:S10">$C$10/12</f>
        <v>0</v>
      </c>
      <c r="J10" s="23">
        <f t="shared" si="9"/>
        <v>0</v>
      </c>
      <c r="K10" s="23">
        <f t="shared" si="9"/>
        <v>0</v>
      </c>
      <c r="L10" s="23">
        <f t="shared" si="9"/>
        <v>0</v>
      </c>
      <c r="M10" s="23">
        <f t="shared" si="9"/>
        <v>0</v>
      </c>
      <c r="N10" s="23">
        <f t="shared" si="9"/>
        <v>0</v>
      </c>
      <c r="O10" s="23">
        <f t="shared" si="9"/>
        <v>0</v>
      </c>
      <c r="P10" s="23">
        <f t="shared" si="9"/>
        <v>0</v>
      </c>
      <c r="Q10" s="23">
        <f t="shared" si="9"/>
        <v>0</v>
      </c>
      <c r="R10" s="23">
        <f t="shared" si="9"/>
        <v>0</v>
      </c>
      <c r="S10" s="23">
        <f t="shared" si="9"/>
        <v>0</v>
      </c>
      <c r="T10" s="23">
        <f aca="true" t="shared" si="10" ref="T10:AE10">$D$10/12</f>
        <v>0</v>
      </c>
      <c r="U10" s="23">
        <f t="shared" si="10"/>
        <v>0</v>
      </c>
      <c r="V10" s="23">
        <f t="shared" si="10"/>
        <v>0</v>
      </c>
      <c r="W10" s="23">
        <f t="shared" si="10"/>
        <v>0</v>
      </c>
      <c r="X10" s="23">
        <f t="shared" si="10"/>
        <v>0</v>
      </c>
      <c r="Y10" s="23">
        <f t="shared" si="10"/>
        <v>0</v>
      </c>
      <c r="Z10" s="23">
        <f t="shared" si="10"/>
        <v>0</v>
      </c>
      <c r="AA10" s="23">
        <f t="shared" si="10"/>
        <v>0</v>
      </c>
      <c r="AB10" s="23">
        <f t="shared" si="10"/>
        <v>0</v>
      </c>
      <c r="AC10" s="23">
        <f t="shared" si="10"/>
        <v>0</v>
      </c>
      <c r="AD10" s="23">
        <f t="shared" si="10"/>
        <v>0</v>
      </c>
      <c r="AE10" s="23">
        <f t="shared" si="10"/>
        <v>0</v>
      </c>
      <c r="AF10" s="23">
        <f aca="true" t="shared" si="11" ref="AF10:AQ10">$E$10/12</f>
        <v>0</v>
      </c>
      <c r="AG10" s="23">
        <f t="shared" si="11"/>
        <v>0</v>
      </c>
      <c r="AH10" s="23">
        <f t="shared" si="11"/>
        <v>0</v>
      </c>
      <c r="AI10" s="23">
        <f t="shared" si="11"/>
        <v>0</v>
      </c>
      <c r="AJ10" s="23">
        <f t="shared" si="11"/>
        <v>0</v>
      </c>
      <c r="AK10" s="23">
        <f t="shared" si="11"/>
        <v>0</v>
      </c>
      <c r="AL10" s="23">
        <f t="shared" si="11"/>
        <v>0</v>
      </c>
      <c r="AM10" s="23">
        <f t="shared" si="11"/>
        <v>0</v>
      </c>
      <c r="AN10" s="23">
        <f t="shared" si="11"/>
        <v>0</v>
      </c>
      <c r="AO10" s="23">
        <f t="shared" si="11"/>
        <v>0</v>
      </c>
      <c r="AP10" s="23">
        <f t="shared" si="11"/>
        <v>0</v>
      </c>
      <c r="AQ10" s="112">
        <f t="shared" si="11"/>
        <v>0</v>
      </c>
    </row>
    <row r="11" spans="1:43" ht="13.5">
      <c r="A11" s="32"/>
      <c r="B11" s="26"/>
      <c r="C11" s="37"/>
      <c r="D11" s="37"/>
      <c r="E11" s="37"/>
      <c r="F11" s="108"/>
      <c r="H11" s="154"/>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155"/>
    </row>
    <row r="12" spans="1:45" ht="13.5">
      <c r="A12" s="32" t="s">
        <v>517</v>
      </c>
      <c r="B12" s="26"/>
      <c r="C12" s="23">
        <f>C96</f>
        <v>0</v>
      </c>
      <c r="D12" s="23">
        <f>D96</f>
        <v>80050</v>
      </c>
      <c r="E12" s="23">
        <f>E96</f>
        <v>304650</v>
      </c>
      <c r="F12" s="108" t="str">
        <f>'Revenue - B-to-B'!F12</f>
        <v>year 2 launch</v>
      </c>
      <c r="H12" s="111">
        <f>C12/12</f>
        <v>0</v>
      </c>
      <c r="I12" s="23">
        <f aca="true" t="shared" si="12" ref="I12:S12">$C$12/12</f>
        <v>0</v>
      </c>
      <c r="J12" s="23">
        <f t="shared" si="12"/>
        <v>0</v>
      </c>
      <c r="K12" s="23">
        <f t="shared" si="12"/>
        <v>0</v>
      </c>
      <c r="L12" s="23">
        <f t="shared" si="12"/>
        <v>0</v>
      </c>
      <c r="M12" s="23">
        <f t="shared" si="12"/>
        <v>0</v>
      </c>
      <c r="N12" s="23">
        <f t="shared" si="12"/>
        <v>0</v>
      </c>
      <c r="O12" s="23">
        <f t="shared" si="12"/>
        <v>0</v>
      </c>
      <c r="P12" s="23">
        <f t="shared" si="12"/>
        <v>0</v>
      </c>
      <c r="Q12" s="23">
        <f t="shared" si="12"/>
        <v>0</v>
      </c>
      <c r="R12" s="23">
        <f t="shared" si="12"/>
        <v>0</v>
      </c>
      <c r="S12" s="23">
        <f t="shared" si="12"/>
        <v>0</v>
      </c>
      <c r="T12" s="23">
        <f aca="true" t="shared" si="13" ref="T12:AE12">$D$12/12</f>
        <v>6670.833333333333</v>
      </c>
      <c r="U12" s="23">
        <f t="shared" si="13"/>
        <v>6670.833333333333</v>
      </c>
      <c r="V12" s="23">
        <f t="shared" si="13"/>
        <v>6670.833333333333</v>
      </c>
      <c r="W12" s="23">
        <f t="shared" si="13"/>
        <v>6670.833333333333</v>
      </c>
      <c r="X12" s="23">
        <f t="shared" si="13"/>
        <v>6670.833333333333</v>
      </c>
      <c r="Y12" s="23">
        <f t="shared" si="13"/>
        <v>6670.833333333333</v>
      </c>
      <c r="Z12" s="23">
        <f t="shared" si="13"/>
        <v>6670.833333333333</v>
      </c>
      <c r="AA12" s="23">
        <f t="shared" si="13"/>
        <v>6670.833333333333</v>
      </c>
      <c r="AB12" s="23">
        <f t="shared" si="13"/>
        <v>6670.833333333333</v>
      </c>
      <c r="AC12" s="23">
        <f t="shared" si="13"/>
        <v>6670.833333333333</v>
      </c>
      <c r="AD12" s="23">
        <f t="shared" si="13"/>
        <v>6670.833333333333</v>
      </c>
      <c r="AE12" s="23">
        <f t="shared" si="13"/>
        <v>6670.833333333333</v>
      </c>
      <c r="AF12" s="23">
        <f aca="true" t="shared" si="14" ref="AF12:AQ12">$E$12/12</f>
        <v>25387.5</v>
      </c>
      <c r="AG12" s="23">
        <f t="shared" si="14"/>
        <v>25387.5</v>
      </c>
      <c r="AH12" s="23">
        <f t="shared" si="14"/>
        <v>25387.5</v>
      </c>
      <c r="AI12" s="23">
        <f t="shared" si="14"/>
        <v>25387.5</v>
      </c>
      <c r="AJ12" s="23">
        <f t="shared" si="14"/>
        <v>25387.5</v>
      </c>
      <c r="AK12" s="23">
        <f t="shared" si="14"/>
        <v>25387.5</v>
      </c>
      <c r="AL12" s="23">
        <f t="shared" si="14"/>
        <v>25387.5</v>
      </c>
      <c r="AM12" s="23">
        <f t="shared" si="14"/>
        <v>25387.5</v>
      </c>
      <c r="AN12" s="23">
        <f t="shared" si="14"/>
        <v>25387.5</v>
      </c>
      <c r="AO12" s="23">
        <f t="shared" si="14"/>
        <v>25387.5</v>
      </c>
      <c r="AP12" s="23">
        <f t="shared" si="14"/>
        <v>25387.5</v>
      </c>
      <c r="AQ12" s="112">
        <f t="shared" si="14"/>
        <v>25387.5</v>
      </c>
      <c r="AR12" s="157"/>
      <c r="AS12" s="157"/>
    </row>
    <row r="13" spans="1:45" ht="13.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3.5">
      <c r="A14" s="32" t="s">
        <v>518</v>
      </c>
      <c r="B14" s="26"/>
      <c r="C14" s="23">
        <f>C108</f>
        <v>0</v>
      </c>
      <c r="D14" s="23">
        <f>D108</f>
        <v>79000</v>
      </c>
      <c r="E14" s="23">
        <f>E108</f>
        <v>126000</v>
      </c>
      <c r="F14" s="108" t="str">
        <f>'Revenue - B-to-B'!F14</f>
        <v>year 2 launch</v>
      </c>
      <c r="H14" s="111">
        <f>C14/12</f>
        <v>0</v>
      </c>
      <c r="I14" s="23">
        <f>$C$14/12</f>
        <v>0</v>
      </c>
      <c r="J14" s="23">
        <f aca="true" t="shared" si="15" ref="J14:S14">$C$14/12</f>
        <v>0</v>
      </c>
      <c r="K14" s="23">
        <f t="shared" si="15"/>
        <v>0</v>
      </c>
      <c r="L14" s="23">
        <f t="shared" si="15"/>
        <v>0</v>
      </c>
      <c r="M14" s="23">
        <f t="shared" si="15"/>
        <v>0</v>
      </c>
      <c r="N14" s="23">
        <f t="shared" si="15"/>
        <v>0</v>
      </c>
      <c r="O14" s="23">
        <f t="shared" si="15"/>
        <v>0</v>
      </c>
      <c r="P14" s="23">
        <f t="shared" si="15"/>
        <v>0</v>
      </c>
      <c r="Q14" s="23">
        <f t="shared" si="15"/>
        <v>0</v>
      </c>
      <c r="R14" s="23">
        <f t="shared" si="15"/>
        <v>0</v>
      </c>
      <c r="S14" s="23">
        <f t="shared" si="15"/>
        <v>0</v>
      </c>
      <c r="T14" s="23">
        <f>$D$14/12</f>
        <v>6583.333333333333</v>
      </c>
      <c r="U14" s="23">
        <f aca="true" t="shared" si="16" ref="U14:AE14">$D$14/12</f>
        <v>6583.333333333333</v>
      </c>
      <c r="V14" s="23">
        <f t="shared" si="16"/>
        <v>6583.333333333333</v>
      </c>
      <c r="W14" s="23">
        <f t="shared" si="16"/>
        <v>6583.333333333333</v>
      </c>
      <c r="X14" s="23">
        <f t="shared" si="16"/>
        <v>6583.333333333333</v>
      </c>
      <c r="Y14" s="23">
        <f t="shared" si="16"/>
        <v>6583.333333333333</v>
      </c>
      <c r="Z14" s="23">
        <f t="shared" si="16"/>
        <v>6583.333333333333</v>
      </c>
      <c r="AA14" s="23">
        <f t="shared" si="16"/>
        <v>6583.333333333333</v>
      </c>
      <c r="AB14" s="23">
        <f t="shared" si="16"/>
        <v>6583.333333333333</v>
      </c>
      <c r="AC14" s="23">
        <f t="shared" si="16"/>
        <v>6583.333333333333</v>
      </c>
      <c r="AD14" s="23">
        <f t="shared" si="16"/>
        <v>6583.333333333333</v>
      </c>
      <c r="AE14" s="23">
        <f t="shared" si="16"/>
        <v>6583.333333333333</v>
      </c>
      <c r="AF14" s="23">
        <f>$E$14/12</f>
        <v>10500</v>
      </c>
      <c r="AG14" s="23">
        <f aca="true" t="shared" si="17" ref="AG14:AQ14">$E$14/12</f>
        <v>10500</v>
      </c>
      <c r="AH14" s="23">
        <f t="shared" si="17"/>
        <v>10500</v>
      </c>
      <c r="AI14" s="23">
        <f t="shared" si="17"/>
        <v>10500</v>
      </c>
      <c r="AJ14" s="23">
        <f t="shared" si="17"/>
        <v>10500</v>
      </c>
      <c r="AK14" s="23">
        <f t="shared" si="17"/>
        <v>10500</v>
      </c>
      <c r="AL14" s="23">
        <f t="shared" si="17"/>
        <v>10500</v>
      </c>
      <c r="AM14" s="23">
        <f t="shared" si="17"/>
        <v>10500</v>
      </c>
      <c r="AN14" s="23">
        <f t="shared" si="17"/>
        <v>10500</v>
      </c>
      <c r="AO14" s="23">
        <f t="shared" si="17"/>
        <v>10500</v>
      </c>
      <c r="AP14" s="23">
        <f t="shared" si="17"/>
        <v>10500</v>
      </c>
      <c r="AQ14" s="112">
        <f t="shared" si="17"/>
        <v>10500</v>
      </c>
      <c r="AR14" s="157"/>
      <c r="AS14" s="157"/>
    </row>
    <row r="15" spans="1:45" ht="13.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3.5">
      <c r="A16" s="32" t="s">
        <v>519</v>
      </c>
      <c r="B16" s="26"/>
      <c r="C16" s="23">
        <f>C122</f>
        <v>0</v>
      </c>
      <c r="D16" s="23">
        <f>D122</f>
        <v>0</v>
      </c>
      <c r="E16" s="23">
        <f>E122</f>
        <v>0</v>
      </c>
      <c r="F16" s="108" t="str">
        <f>'Revenue - B-to-B'!F16</f>
        <v>Not included in this model</v>
      </c>
      <c r="H16" s="111">
        <f>C16/12</f>
        <v>0</v>
      </c>
      <c r="I16" s="23">
        <f>$C$16/12</f>
        <v>0</v>
      </c>
      <c r="J16" s="23">
        <f aca="true" t="shared" si="18" ref="J16:S16">$C$16/12</f>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$D$16/12</f>
        <v>0</v>
      </c>
      <c r="U16" s="23">
        <f aca="true" t="shared" si="19" ref="U16:AE16">$D$16/12</f>
        <v>0</v>
      </c>
      <c r="V16" s="23">
        <f t="shared" si="19"/>
        <v>0</v>
      </c>
      <c r="W16" s="23">
        <f t="shared" si="19"/>
        <v>0</v>
      </c>
      <c r="X16" s="23">
        <f t="shared" si="19"/>
        <v>0</v>
      </c>
      <c r="Y16" s="23">
        <f t="shared" si="19"/>
        <v>0</v>
      </c>
      <c r="Z16" s="23">
        <f t="shared" si="19"/>
        <v>0</v>
      </c>
      <c r="AA16" s="23">
        <f t="shared" si="19"/>
        <v>0</v>
      </c>
      <c r="AB16" s="23">
        <f t="shared" si="19"/>
        <v>0</v>
      </c>
      <c r="AC16" s="23">
        <f t="shared" si="19"/>
        <v>0</v>
      </c>
      <c r="AD16" s="23">
        <f t="shared" si="19"/>
        <v>0</v>
      </c>
      <c r="AE16" s="23">
        <f t="shared" si="19"/>
        <v>0</v>
      </c>
      <c r="AF16" s="23">
        <f>$E$16/12</f>
        <v>0</v>
      </c>
      <c r="AG16" s="23">
        <f aca="true" t="shared" si="20" ref="AG16:AQ16">$E$16/12</f>
        <v>0</v>
      </c>
      <c r="AH16" s="23">
        <f t="shared" si="20"/>
        <v>0</v>
      </c>
      <c r="AI16" s="23">
        <f t="shared" si="20"/>
        <v>0</v>
      </c>
      <c r="AJ16" s="23">
        <f t="shared" si="20"/>
        <v>0</v>
      </c>
      <c r="AK16" s="23">
        <f t="shared" si="20"/>
        <v>0</v>
      </c>
      <c r="AL16" s="23">
        <f t="shared" si="20"/>
        <v>0</v>
      </c>
      <c r="AM16" s="23">
        <f t="shared" si="20"/>
        <v>0</v>
      </c>
      <c r="AN16" s="23">
        <f t="shared" si="20"/>
        <v>0</v>
      </c>
      <c r="AO16" s="23">
        <f t="shared" si="20"/>
        <v>0</v>
      </c>
      <c r="AP16" s="23">
        <f t="shared" si="20"/>
        <v>0</v>
      </c>
      <c r="AQ16" s="112">
        <f t="shared" si="20"/>
        <v>0</v>
      </c>
    </row>
    <row r="17" spans="1:43" ht="13.5">
      <c r="A17" s="32"/>
      <c r="B17" s="26"/>
      <c r="C17" s="37"/>
      <c r="D17" s="37"/>
      <c r="E17" s="37"/>
      <c r="F17" s="108"/>
      <c r="H17" s="154"/>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155"/>
    </row>
    <row r="18" spans="1:45" ht="13.5">
      <c r="A18" s="32" t="s">
        <v>520</v>
      </c>
      <c r="B18" s="26"/>
      <c r="C18" s="23">
        <f>C135</f>
        <v>0</v>
      </c>
      <c r="D18" s="23">
        <f>D135</f>
        <v>0</v>
      </c>
      <c r="E18" s="23">
        <f>E135</f>
        <v>0</v>
      </c>
      <c r="F18" s="108" t="str">
        <f>'Revenue - B-to-B'!F18</f>
        <v>Not included in this model</v>
      </c>
      <c r="H18" s="111">
        <f>C18/12</f>
        <v>0</v>
      </c>
      <c r="I18" s="23">
        <f>$C$18/12</f>
        <v>0</v>
      </c>
      <c r="J18" s="23">
        <f aca="true" t="shared" si="21" ref="J18:S18">$C$18/12</f>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$D$18/12</f>
        <v>0</v>
      </c>
      <c r="U18" s="23">
        <f aca="true" t="shared" si="22" ref="U18:AE18">$D$18/12</f>
        <v>0</v>
      </c>
      <c r="V18" s="23">
        <f t="shared" si="22"/>
        <v>0</v>
      </c>
      <c r="W18" s="23">
        <f t="shared" si="22"/>
        <v>0</v>
      </c>
      <c r="X18" s="23">
        <f t="shared" si="22"/>
        <v>0</v>
      </c>
      <c r="Y18" s="23">
        <f t="shared" si="22"/>
        <v>0</v>
      </c>
      <c r="Z18" s="23">
        <f t="shared" si="22"/>
        <v>0</v>
      </c>
      <c r="AA18" s="23">
        <f t="shared" si="22"/>
        <v>0</v>
      </c>
      <c r="AB18" s="23">
        <f t="shared" si="22"/>
        <v>0</v>
      </c>
      <c r="AC18" s="23">
        <f t="shared" si="22"/>
        <v>0</v>
      </c>
      <c r="AD18" s="23">
        <f t="shared" si="22"/>
        <v>0</v>
      </c>
      <c r="AE18" s="23">
        <f t="shared" si="22"/>
        <v>0</v>
      </c>
      <c r="AF18" s="23">
        <f>$E$18/12</f>
        <v>0</v>
      </c>
      <c r="AG18" s="23">
        <f aca="true" t="shared" si="23" ref="AG18:AQ18">$E$18/12</f>
        <v>0</v>
      </c>
      <c r="AH18" s="23">
        <f t="shared" si="23"/>
        <v>0</v>
      </c>
      <c r="AI18" s="23">
        <f t="shared" si="23"/>
        <v>0</v>
      </c>
      <c r="AJ18" s="23">
        <f t="shared" si="23"/>
        <v>0</v>
      </c>
      <c r="AK18" s="23">
        <f t="shared" si="23"/>
        <v>0</v>
      </c>
      <c r="AL18" s="23">
        <f t="shared" si="23"/>
        <v>0</v>
      </c>
      <c r="AM18" s="23">
        <f t="shared" si="23"/>
        <v>0</v>
      </c>
      <c r="AN18" s="23">
        <f t="shared" si="23"/>
        <v>0</v>
      </c>
      <c r="AO18" s="23">
        <f t="shared" si="23"/>
        <v>0</v>
      </c>
      <c r="AP18" s="23">
        <f t="shared" si="23"/>
        <v>0</v>
      </c>
      <c r="AQ18" s="112">
        <f t="shared" si="23"/>
        <v>0</v>
      </c>
      <c r="AR18" s="157"/>
      <c r="AS18" s="157"/>
    </row>
    <row r="19" spans="1:45" ht="13.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3" s="138" customFormat="1" ht="15" thickBot="1">
      <c r="A20" s="159"/>
      <c r="B20" s="160"/>
      <c r="F20" s="161"/>
      <c r="H20" s="159"/>
      <c r="AQ20" s="161"/>
    </row>
    <row r="21" spans="1:43" ht="13.5">
      <c r="A21" s="32"/>
      <c r="B21" s="26"/>
      <c r="C21" s="26"/>
      <c r="D21" s="26"/>
      <c r="E21" s="26"/>
      <c r="F21" s="108"/>
      <c r="H21" s="11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112"/>
    </row>
    <row r="22" spans="1:43" ht="13.5">
      <c r="A22" s="162" t="s">
        <v>329</v>
      </c>
      <c r="B22" s="26"/>
      <c r="C22" s="23">
        <f>SUM(C4:C19)</f>
        <v>1412819.25</v>
      </c>
      <c r="D22" s="23">
        <f>SUM(D4:D19)</f>
        <v>1995364.5</v>
      </c>
      <c r="E22" s="23">
        <f>SUM(E4:E19)</f>
        <v>2484704.125</v>
      </c>
      <c r="F22" s="108"/>
      <c r="H22" s="111">
        <f>SUM(H4:H19)</f>
        <v>117734.93750000001</v>
      </c>
      <c r="I22" s="23">
        <f>SUM(I4:I19)</f>
        <v>117734.93750000001</v>
      </c>
      <c r="J22" s="23">
        <f aca="true" t="shared" si="24" ref="J22:AQ22">SUM(J4:J19)</f>
        <v>117734.93750000001</v>
      </c>
      <c r="K22" s="23">
        <f t="shared" si="24"/>
        <v>117734.93750000001</v>
      </c>
      <c r="L22" s="23">
        <f t="shared" si="24"/>
        <v>117734.93750000001</v>
      </c>
      <c r="M22" s="23">
        <f t="shared" si="24"/>
        <v>117734.93750000001</v>
      </c>
      <c r="N22" s="23">
        <f t="shared" si="24"/>
        <v>117734.93750000001</v>
      </c>
      <c r="O22" s="23">
        <f t="shared" si="24"/>
        <v>117734.93750000001</v>
      </c>
      <c r="P22" s="23">
        <f t="shared" si="24"/>
        <v>117734.93750000001</v>
      </c>
      <c r="Q22" s="23">
        <f t="shared" si="24"/>
        <v>117734.93750000001</v>
      </c>
      <c r="R22" s="23">
        <f t="shared" si="24"/>
        <v>117734.93750000001</v>
      </c>
      <c r="S22" s="23">
        <f t="shared" si="24"/>
        <v>117734.93750000001</v>
      </c>
      <c r="T22" s="23">
        <f t="shared" si="24"/>
        <v>166280.37500000003</v>
      </c>
      <c r="U22" s="23">
        <f t="shared" si="24"/>
        <v>166280.37500000003</v>
      </c>
      <c r="V22" s="23">
        <f t="shared" si="24"/>
        <v>166280.37500000003</v>
      </c>
      <c r="W22" s="23">
        <f t="shared" si="24"/>
        <v>166280.37500000003</v>
      </c>
      <c r="X22" s="23">
        <f t="shared" si="24"/>
        <v>166280.37500000003</v>
      </c>
      <c r="Y22" s="23">
        <f t="shared" si="24"/>
        <v>166280.37500000003</v>
      </c>
      <c r="Z22" s="23">
        <f t="shared" si="24"/>
        <v>166280.37500000003</v>
      </c>
      <c r="AA22" s="23">
        <f t="shared" si="24"/>
        <v>166280.37500000003</v>
      </c>
      <c r="AB22" s="23">
        <f t="shared" si="24"/>
        <v>166280.37500000003</v>
      </c>
      <c r="AC22" s="23">
        <f t="shared" si="24"/>
        <v>166280.37500000003</v>
      </c>
      <c r="AD22" s="23">
        <f t="shared" si="24"/>
        <v>166280.37500000003</v>
      </c>
      <c r="AE22" s="23">
        <f t="shared" si="24"/>
        <v>166280.37500000003</v>
      </c>
      <c r="AF22" s="23">
        <f t="shared" si="24"/>
        <v>207058.67708333334</v>
      </c>
      <c r="AG22" s="23">
        <f t="shared" si="24"/>
        <v>207058.67708333334</v>
      </c>
      <c r="AH22" s="23">
        <f t="shared" si="24"/>
        <v>207058.67708333334</v>
      </c>
      <c r="AI22" s="23">
        <f t="shared" si="24"/>
        <v>207058.67708333334</v>
      </c>
      <c r="AJ22" s="23">
        <f t="shared" si="24"/>
        <v>207058.67708333334</v>
      </c>
      <c r="AK22" s="23">
        <f t="shared" si="24"/>
        <v>207058.67708333334</v>
      </c>
      <c r="AL22" s="23">
        <f t="shared" si="24"/>
        <v>207058.67708333334</v>
      </c>
      <c r="AM22" s="23">
        <f t="shared" si="24"/>
        <v>207058.67708333334</v>
      </c>
      <c r="AN22" s="23">
        <f t="shared" si="24"/>
        <v>207058.67708333334</v>
      </c>
      <c r="AO22" s="23">
        <f t="shared" si="24"/>
        <v>207058.67708333334</v>
      </c>
      <c r="AP22" s="23">
        <f t="shared" si="24"/>
        <v>207058.67708333334</v>
      </c>
      <c r="AQ22" s="112">
        <f t="shared" si="24"/>
        <v>207058.67708333334</v>
      </c>
    </row>
    <row r="23" spans="1:43" ht="15" thickBot="1">
      <c r="A23" s="159"/>
      <c r="B23" s="138"/>
      <c r="C23" s="138"/>
      <c r="D23" s="138"/>
      <c r="E23" s="138"/>
      <c r="F23" s="161"/>
      <c r="H23" s="159"/>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61"/>
    </row>
    <row r="27" s="103" customFormat="1" ht="13.5">
      <c r="A27" s="329" t="s">
        <v>1</v>
      </c>
    </row>
    <row r="28" spans="1:2" ht="13.5">
      <c r="A28" s="171"/>
      <c r="B28" s="25" t="s">
        <v>403</v>
      </c>
    </row>
    <row r="29" spans="1:2" ht="13.5">
      <c r="A29" s="171"/>
      <c r="B29" s="25" t="s">
        <v>460</v>
      </c>
    </row>
    <row r="30" spans="1:2" ht="13.5">
      <c r="A30" s="171"/>
      <c r="B30" s="164" t="s">
        <v>547</v>
      </c>
    </row>
    <row r="31" ht="13.5">
      <c r="B31" s="164" t="s">
        <v>548</v>
      </c>
    </row>
    <row r="32" ht="13.5">
      <c r="B32" s="164" t="s">
        <v>549</v>
      </c>
    </row>
    <row r="33" ht="13.5">
      <c r="B33" s="164" t="s">
        <v>2</v>
      </c>
    </row>
    <row r="34" ht="13.5">
      <c r="A34" s="171"/>
    </row>
    <row r="35" spans="3:5" ht="13.5">
      <c r="C35" s="169" t="s">
        <v>196</v>
      </c>
      <c r="D35" s="169" t="s">
        <v>197</v>
      </c>
      <c r="E35" s="169" t="s">
        <v>198</v>
      </c>
    </row>
    <row r="37" spans="1:43" ht="13.5">
      <c r="A37" s="25" t="s">
        <v>57</v>
      </c>
      <c r="C37" s="23">
        <f>'Revenue - B-to-B'!C4</f>
        <v>928400</v>
      </c>
      <c r="D37" s="23">
        <f>'Revenue - B-to-B'!D4</f>
        <v>1108400</v>
      </c>
      <c r="E37" s="23">
        <f>'Revenue - B-to-B'!E4</f>
        <v>1198400</v>
      </c>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row>
    <row r="38" spans="1:43" ht="13.5">
      <c r="A38" s="25" t="s">
        <v>58</v>
      </c>
      <c r="C38" s="23">
        <f>'Expenses- B-to-B'!D57</f>
        <v>91880.41666666666</v>
      </c>
      <c r="D38" s="23">
        <f>'Expenses- B-to-B'!E57</f>
        <v>170407.5</v>
      </c>
      <c r="E38" s="23">
        <f>'Expenses- B-to-B'!F57</f>
        <v>245919.375</v>
      </c>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row>
    <row r="39" spans="2:43" ht="13.5">
      <c r="B39" s="25" t="s">
        <v>329</v>
      </c>
      <c r="C39" s="23">
        <f>C37-C38</f>
        <v>836519.5833333334</v>
      </c>
      <c r="D39" s="23">
        <f>D37-D38</f>
        <v>937992.5</v>
      </c>
      <c r="E39" s="23">
        <f>E37-E38</f>
        <v>952480.625</v>
      </c>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row>
    <row r="42" spans="3:43" ht="13.5">
      <c r="C42" s="172"/>
      <c r="D42" s="172"/>
      <c r="E42" s="172"/>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row>
    <row r="43" s="103" customFormat="1" ht="13.5">
      <c r="A43" s="329" t="s">
        <v>13</v>
      </c>
    </row>
    <row r="44" spans="1:2" ht="13.5">
      <c r="A44" s="99"/>
      <c r="B44" s="25" t="s">
        <v>14</v>
      </c>
    </row>
    <row r="45" spans="1:2" ht="13.5">
      <c r="A45" s="99"/>
      <c r="B45" s="164" t="s">
        <v>15</v>
      </c>
    </row>
    <row r="46" spans="1:2" ht="13.5">
      <c r="A46" s="99"/>
      <c r="B46" s="164" t="s">
        <v>16</v>
      </c>
    </row>
    <row r="47" spans="1:2" ht="13.5">
      <c r="A47" s="99"/>
      <c r="B47" s="164" t="s">
        <v>17</v>
      </c>
    </row>
    <row r="49" spans="3:8" ht="13.5">
      <c r="C49" s="169" t="s">
        <v>196</v>
      </c>
      <c r="D49" s="169" t="s">
        <v>197</v>
      </c>
      <c r="E49" s="169" t="s">
        <v>198</v>
      </c>
      <c r="H49" s="17"/>
    </row>
    <row r="51" spans="1:43" ht="13.5">
      <c r="A51" s="25" t="s">
        <v>57</v>
      </c>
      <c r="C51" s="23">
        <f>'Revenue - B-to-B'!C6</f>
        <v>742500</v>
      </c>
      <c r="D51" s="23">
        <f>'Revenue - B-to-B'!D6</f>
        <v>990000</v>
      </c>
      <c r="E51" s="23">
        <f>'Revenue - B-to-B'!E6</f>
        <v>1237500</v>
      </c>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row>
    <row r="52" spans="1:43" ht="13.5">
      <c r="A52" s="25" t="s">
        <v>58</v>
      </c>
      <c r="C52" s="23">
        <f>'Expenses- B-to-B'!D83</f>
        <v>214666.66666666666</v>
      </c>
      <c r="D52" s="23">
        <f>'Expenses- B-to-B'!E83</f>
        <v>284500</v>
      </c>
      <c r="E52" s="23">
        <f>'Expenses- B-to-B'!F83</f>
        <v>348295</v>
      </c>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row>
    <row r="53" spans="2:43" ht="13.5">
      <c r="B53" s="25" t="s">
        <v>329</v>
      </c>
      <c r="C53" s="23">
        <f>C51-C52</f>
        <v>527833.3333333334</v>
      </c>
      <c r="D53" s="23">
        <f>D51-D52</f>
        <v>705500</v>
      </c>
      <c r="E53" s="23">
        <f>E51-E52</f>
        <v>889205</v>
      </c>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row>
    <row r="57" s="103" customFormat="1" ht="13.5">
      <c r="A57" s="329" t="s">
        <v>219</v>
      </c>
    </row>
    <row r="58" spans="1:2" ht="13.5">
      <c r="A58" s="99"/>
      <c r="B58" s="25" t="s">
        <v>397</v>
      </c>
    </row>
    <row r="59" spans="1:2" ht="13.5">
      <c r="A59" s="99"/>
      <c r="B59" s="25" t="s">
        <v>186</v>
      </c>
    </row>
    <row r="60" spans="1:2" ht="13.5">
      <c r="A60" s="99"/>
      <c r="B60" s="25" t="s">
        <v>187</v>
      </c>
    </row>
    <row r="61" spans="1:2" ht="13.5">
      <c r="A61" s="99"/>
      <c r="B61" s="164" t="s">
        <v>220</v>
      </c>
    </row>
    <row r="63" spans="3:5" ht="13.5">
      <c r="C63" s="169" t="s">
        <v>196</v>
      </c>
      <c r="D63" s="169" t="s">
        <v>197</v>
      </c>
      <c r="E63" s="169" t="s">
        <v>198</v>
      </c>
    </row>
    <row r="64" ht="13.5">
      <c r="H64" s="178"/>
    </row>
    <row r="65" spans="1:43" ht="13.5">
      <c r="A65" s="25" t="s">
        <v>57</v>
      </c>
      <c r="C65" s="23">
        <f>'Revenue - B-to-B'!C8</f>
        <v>245758</v>
      </c>
      <c r="D65" s="23">
        <f>'Revenue - B-to-B'!D8</f>
        <v>362472</v>
      </c>
      <c r="E65" s="23">
        <f>'Revenue - B-to-B'!E8</f>
        <v>386808</v>
      </c>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row>
    <row r="66" spans="1:43" ht="13.5">
      <c r="A66" s="25" t="s">
        <v>58</v>
      </c>
      <c r="C66" s="23">
        <f>'Expenses- B-to-B'!D105</f>
        <v>197291.6666666667</v>
      </c>
      <c r="D66" s="23">
        <f>'Expenses- B-to-B'!E105</f>
        <v>169649.99999999997</v>
      </c>
      <c r="E66" s="23">
        <f>'Expenses- B-to-B'!F105</f>
        <v>174439.49999999997</v>
      </c>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row>
    <row r="67" spans="2:43" ht="13.5">
      <c r="B67" s="25" t="s">
        <v>329</v>
      </c>
      <c r="C67" s="23">
        <f>C65-C66</f>
        <v>48466.333333333314</v>
      </c>
      <c r="D67" s="23">
        <f>D65-D66</f>
        <v>192822.00000000003</v>
      </c>
      <c r="E67" s="23">
        <f>E65-E66</f>
        <v>212368.50000000003</v>
      </c>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row>
    <row r="68" ht="13.5">
      <c r="B68" s="164"/>
    </row>
    <row r="69" ht="13.5">
      <c r="H69" s="164"/>
    </row>
    <row r="70" ht="13.5">
      <c r="H70" s="164"/>
    </row>
    <row r="71" s="103" customFormat="1" ht="13.5">
      <c r="A71" s="329" t="s">
        <v>354</v>
      </c>
    </row>
    <row r="72" spans="1:2" ht="13.5">
      <c r="A72" s="99"/>
      <c r="B72" s="164" t="s">
        <v>404</v>
      </c>
    </row>
    <row r="73" spans="1:2" ht="13.5">
      <c r="A73" s="99"/>
      <c r="B73" s="25" t="s">
        <v>190</v>
      </c>
    </row>
    <row r="74" spans="1:2" ht="13.5">
      <c r="A74" s="99"/>
      <c r="B74" s="164" t="s">
        <v>339</v>
      </c>
    </row>
    <row r="75" spans="1:2" ht="13.5">
      <c r="A75" s="99"/>
      <c r="B75" s="164" t="s">
        <v>37</v>
      </c>
    </row>
    <row r="76" spans="1:2" ht="13.5">
      <c r="A76" s="99"/>
      <c r="B76" s="204" t="s">
        <v>38</v>
      </c>
    </row>
    <row r="77" spans="1:2" ht="13.5">
      <c r="A77" s="99"/>
      <c r="B77" s="178" t="s">
        <v>39</v>
      </c>
    </row>
    <row r="79" spans="3:5" ht="13.5">
      <c r="C79" s="169" t="s">
        <v>196</v>
      </c>
      <c r="D79" s="169" t="s">
        <v>197</v>
      </c>
      <c r="E79" s="169" t="s">
        <v>198</v>
      </c>
    </row>
    <row r="81" spans="1:43" ht="13.5">
      <c r="A81" s="25" t="s">
        <v>57</v>
      </c>
      <c r="C81" s="23">
        <f>'Revenue - B-to-B'!C10</f>
        <v>0</v>
      </c>
      <c r="D81" s="23">
        <f>'Revenue - B-to-B'!D10</f>
        <v>0</v>
      </c>
      <c r="E81" s="23">
        <f>'Revenue - B-to-B'!E10</f>
        <v>0</v>
      </c>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row>
    <row r="82" spans="1:43" ht="13.5">
      <c r="A82" s="25" t="s">
        <v>58</v>
      </c>
      <c r="C82" s="23">
        <f>'Expenses- B-to-B'!D126</f>
        <v>0</v>
      </c>
      <c r="D82" s="23">
        <f>'Expenses- B-to-B'!E126</f>
        <v>0</v>
      </c>
      <c r="E82" s="23">
        <f>'Expenses- B-to-B'!F126</f>
        <v>0</v>
      </c>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row>
    <row r="83" spans="2:43" ht="13.5">
      <c r="B83" s="25" t="s">
        <v>329</v>
      </c>
      <c r="C83" s="23">
        <f>C81-C82</f>
        <v>0</v>
      </c>
      <c r="D83" s="23">
        <f>D81-D82</f>
        <v>0</v>
      </c>
      <c r="E83" s="23">
        <f>E81-E82</f>
        <v>0</v>
      </c>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row>
    <row r="87" s="103" customFormat="1" ht="13.5">
      <c r="A87" s="329" t="s">
        <v>53</v>
      </c>
    </row>
    <row r="88" spans="1:2" ht="13.5">
      <c r="A88" s="99"/>
      <c r="B88" s="164" t="s">
        <v>54</v>
      </c>
    </row>
    <row r="89" spans="1:2" ht="13.5">
      <c r="A89" s="99"/>
      <c r="B89" s="164" t="s">
        <v>272</v>
      </c>
    </row>
    <row r="90" spans="1:2" ht="13.5">
      <c r="A90" s="99"/>
      <c r="B90" s="164" t="s">
        <v>273</v>
      </c>
    </row>
    <row r="92" spans="3:5" ht="13.5">
      <c r="C92" s="169" t="s">
        <v>196</v>
      </c>
      <c r="D92" s="169" t="s">
        <v>197</v>
      </c>
      <c r="E92" s="169" t="s">
        <v>198</v>
      </c>
    </row>
    <row r="94" spans="1:43" ht="13.5">
      <c r="A94" s="25" t="s">
        <v>57</v>
      </c>
      <c r="C94" s="23">
        <f>'Revenue - B-to-B'!C12</f>
        <v>0</v>
      </c>
      <c r="D94" s="23">
        <f>'Revenue - B-to-B'!D12</f>
        <v>264000</v>
      </c>
      <c r="E94" s="23">
        <f>'Revenue - B-to-B'!E12</f>
        <v>480000</v>
      </c>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row>
    <row r="95" spans="1:43" ht="13.5">
      <c r="A95" s="25" t="s">
        <v>58</v>
      </c>
      <c r="C95" s="23">
        <f>'Expenses- B-to-B'!D161</f>
        <v>0</v>
      </c>
      <c r="D95" s="23">
        <f>'Expenses- B-to-B'!E161</f>
        <v>183950</v>
      </c>
      <c r="E95" s="23">
        <f>'Expenses- B-to-B'!F161</f>
        <v>175350</v>
      </c>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row>
    <row r="96" spans="2:43" ht="13.5">
      <c r="B96" s="25" t="s">
        <v>329</v>
      </c>
      <c r="C96" s="23">
        <f>C94-C95</f>
        <v>0</v>
      </c>
      <c r="D96" s="23">
        <f>D94-D95</f>
        <v>80050</v>
      </c>
      <c r="E96" s="23">
        <f>E94-E95</f>
        <v>304650</v>
      </c>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row>
    <row r="100" s="103" customFormat="1" ht="13.5">
      <c r="A100" s="329" t="s">
        <v>290</v>
      </c>
    </row>
    <row r="101" spans="1:2" ht="13.5">
      <c r="A101" s="99"/>
      <c r="B101" s="164" t="s">
        <v>291</v>
      </c>
    </row>
    <row r="102" spans="1:2" ht="13.5">
      <c r="A102" s="99"/>
      <c r="B102" s="164" t="s">
        <v>292</v>
      </c>
    </row>
    <row r="104" spans="3:5" ht="13.5">
      <c r="C104" s="169" t="s">
        <v>196</v>
      </c>
      <c r="D104" s="169" t="s">
        <v>197</v>
      </c>
      <c r="E104" s="169" t="s">
        <v>198</v>
      </c>
    </row>
    <row r="106" spans="1:5" ht="13.5">
      <c r="A106" s="25" t="s">
        <v>57</v>
      </c>
      <c r="C106" s="23">
        <f>'Revenue - B-to-B'!C14</f>
        <v>0</v>
      </c>
      <c r="D106" s="23">
        <f>'Revenue - B-to-B'!D14</f>
        <v>120000</v>
      </c>
      <c r="E106" s="23">
        <f>'Revenue - B-to-B'!E14</f>
        <v>180000</v>
      </c>
    </row>
    <row r="107" spans="1:5" ht="13.5">
      <c r="A107" s="25" t="s">
        <v>58</v>
      </c>
      <c r="C107" s="23">
        <f>'Expenses- B-to-B'!D179</f>
        <v>0</v>
      </c>
      <c r="D107" s="23">
        <f>'Expenses- B-to-B'!E179</f>
        <v>41000</v>
      </c>
      <c r="E107" s="23">
        <f>'Expenses- B-to-B'!F179</f>
        <v>54000</v>
      </c>
    </row>
    <row r="108" spans="2:5" ht="13.5">
      <c r="B108" s="25" t="s">
        <v>329</v>
      </c>
      <c r="C108" s="136">
        <f>C106-C107</f>
        <v>0</v>
      </c>
      <c r="D108" s="136">
        <f>D106-D107</f>
        <v>79000</v>
      </c>
      <c r="E108" s="136">
        <f>E106-E107</f>
        <v>126000</v>
      </c>
    </row>
    <row r="112" s="103" customFormat="1" ht="13.5">
      <c r="A112" s="329" t="s">
        <v>80</v>
      </c>
    </row>
    <row r="113" spans="1:2" ht="13.5">
      <c r="A113" s="99"/>
      <c r="B113" s="25" t="s">
        <v>81</v>
      </c>
    </row>
    <row r="114" spans="1:2" ht="13.5">
      <c r="A114" s="99"/>
      <c r="B114" s="164" t="s">
        <v>188</v>
      </c>
    </row>
    <row r="115" spans="1:2" ht="13.5">
      <c r="A115" s="99"/>
      <c r="B115" s="25" t="s">
        <v>189</v>
      </c>
    </row>
    <row r="116" spans="1:2" ht="13.5">
      <c r="A116" s="99"/>
      <c r="B116" s="164" t="s">
        <v>82</v>
      </c>
    </row>
    <row r="118" spans="3:5" ht="13.5">
      <c r="C118" s="169" t="s">
        <v>196</v>
      </c>
      <c r="D118" s="169" t="s">
        <v>197</v>
      </c>
      <c r="E118" s="169" t="s">
        <v>198</v>
      </c>
    </row>
    <row r="119" ht="13.5">
      <c r="A119" s="99"/>
    </row>
    <row r="120" spans="1:43" ht="13.5">
      <c r="A120" s="25" t="s">
        <v>57</v>
      </c>
      <c r="C120" s="23">
        <f>'Revenue - B-to-B'!C16</f>
        <v>0</v>
      </c>
      <c r="D120" s="23">
        <f>'Revenue - B-to-B'!D16</f>
        <v>0</v>
      </c>
      <c r="E120" s="23">
        <f>'Revenue - B-to-B'!E16</f>
        <v>0</v>
      </c>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row>
    <row r="121" spans="1:43" ht="13.5">
      <c r="A121" s="25" t="s">
        <v>58</v>
      </c>
      <c r="C121" s="23">
        <f>'Expenses- B-to-B'!D200</f>
        <v>0</v>
      </c>
      <c r="D121" s="23">
        <f>'Expenses- B-to-B'!E200</f>
        <v>0</v>
      </c>
      <c r="E121" s="23">
        <f>'Expenses- B-to-B'!F200</f>
        <v>0</v>
      </c>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row>
    <row r="122" spans="2:43" ht="13.5">
      <c r="B122" s="25" t="s">
        <v>329</v>
      </c>
      <c r="C122" s="23">
        <f>C120-C121</f>
        <v>0</v>
      </c>
      <c r="D122" s="23">
        <f>D120-D121</f>
        <v>0</v>
      </c>
      <c r="E122" s="23">
        <f>E120-E121</f>
        <v>0</v>
      </c>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row>
    <row r="123" spans="1:3" ht="13.5">
      <c r="A123" s="99"/>
      <c r="C123" s="136"/>
    </row>
    <row r="126" s="103" customFormat="1" ht="13.5">
      <c r="A126" s="329" t="s">
        <v>102</v>
      </c>
    </row>
    <row r="127" spans="1:2" ht="13.5">
      <c r="A127" s="99"/>
      <c r="B127" s="25" t="s">
        <v>398</v>
      </c>
    </row>
    <row r="128" spans="1:2" ht="13.5">
      <c r="A128" s="99"/>
      <c r="B128" s="164" t="s">
        <v>103</v>
      </c>
    </row>
    <row r="129" spans="1:2" ht="13.5">
      <c r="A129" s="99"/>
      <c r="B129" s="164" t="s">
        <v>210</v>
      </c>
    </row>
    <row r="131" spans="3:5" ht="13.5">
      <c r="C131" s="169" t="s">
        <v>196</v>
      </c>
      <c r="D131" s="169" t="s">
        <v>197</v>
      </c>
      <c r="E131" s="169" t="s">
        <v>198</v>
      </c>
    </row>
    <row r="132" ht="13.5">
      <c r="A132" s="99"/>
    </row>
    <row r="133" spans="1:43" ht="13.5">
      <c r="A133" s="25" t="s">
        <v>57</v>
      </c>
      <c r="C133" s="23">
        <f>'Revenue - B-to-B'!C18</f>
        <v>0</v>
      </c>
      <c r="D133" s="23">
        <f>'Revenue - B-to-B'!D18</f>
        <v>0</v>
      </c>
      <c r="E133" s="23">
        <f>'Revenue - B-to-B'!E18</f>
        <v>0</v>
      </c>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row>
    <row r="134" spans="1:43" ht="13.5">
      <c r="A134" s="25" t="s">
        <v>58</v>
      </c>
      <c r="C134" s="23">
        <f>'Expenses- B-to-B'!D219</f>
        <v>0</v>
      </c>
      <c r="D134" s="23">
        <f>'Expenses- B-to-B'!E219</f>
        <v>0</v>
      </c>
      <c r="E134" s="23">
        <f>'Expenses- B-to-B'!F219</f>
        <v>0</v>
      </c>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row>
    <row r="135" spans="2:43" ht="13.5">
      <c r="B135" s="25" t="s">
        <v>329</v>
      </c>
      <c r="C135" s="23">
        <f>C133-C134</f>
        <v>0</v>
      </c>
      <c r="D135" s="23">
        <f>D133-D134</f>
        <v>0</v>
      </c>
      <c r="E135" s="23">
        <f>E133-E134</f>
        <v>0</v>
      </c>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M15"/>
  <sheetViews>
    <sheetView workbookViewId="0" topLeftCell="A2">
      <selection activeCell="B11" sqref="B11"/>
    </sheetView>
  </sheetViews>
  <sheetFormatPr defaultColWidth="9.140625" defaultRowHeight="12.75"/>
  <cols>
    <col min="1" max="1" width="42.421875" style="343" customWidth="1"/>
    <col min="2" max="2" width="14.00390625" style="343" bestFit="1" customWidth="1"/>
    <col min="3" max="13" width="11.28125" style="343" bestFit="1" customWidth="1"/>
    <col min="14" max="16384" width="9.140625" style="343" customWidth="1"/>
  </cols>
  <sheetData>
    <row r="1" ht="12.75" thickBot="1"/>
    <row r="2" spans="2:13" ht="13.5">
      <c r="B2" s="344" t="s">
        <v>196</v>
      </c>
      <c r="C2" s="345"/>
      <c r="D2" s="345"/>
      <c r="E2" s="345"/>
      <c r="F2" s="345"/>
      <c r="G2" s="345"/>
      <c r="H2" s="345"/>
      <c r="I2" s="345"/>
      <c r="J2" s="345"/>
      <c r="K2" s="345"/>
      <c r="L2" s="345"/>
      <c r="M2" s="346"/>
    </row>
    <row r="3" spans="2:13" ht="15" thickBot="1">
      <c r="B3" s="347" t="s">
        <v>200</v>
      </c>
      <c r="C3" s="348" t="s">
        <v>201</v>
      </c>
      <c r="D3" s="348" t="s">
        <v>202</v>
      </c>
      <c r="E3" s="348" t="s">
        <v>203</v>
      </c>
      <c r="F3" s="348" t="s">
        <v>477</v>
      </c>
      <c r="G3" s="348" t="s">
        <v>357</v>
      </c>
      <c r="H3" s="348" t="s">
        <v>358</v>
      </c>
      <c r="I3" s="348" t="s">
        <v>359</v>
      </c>
      <c r="J3" s="348" t="s">
        <v>360</v>
      </c>
      <c r="K3" s="348" t="s">
        <v>361</v>
      </c>
      <c r="L3" s="348" t="s">
        <v>362</v>
      </c>
      <c r="M3" s="348" t="s">
        <v>363</v>
      </c>
    </row>
    <row r="4" spans="1:13" ht="13.5">
      <c r="A4" s="350" t="s">
        <v>486</v>
      </c>
      <c r="B4" s="349"/>
      <c r="C4" s="349"/>
      <c r="D4" s="349"/>
      <c r="E4" s="349"/>
      <c r="F4" s="349"/>
      <c r="G4" s="349"/>
      <c r="H4" s="349"/>
      <c r="I4" s="349"/>
      <c r="J4" s="349"/>
      <c r="K4" s="349"/>
      <c r="L4" s="349"/>
      <c r="M4" s="349"/>
    </row>
    <row r="5" spans="1:13" ht="12">
      <c r="A5" s="351" t="s">
        <v>488</v>
      </c>
      <c r="B5" s="343">
        <f>'Income Statement'!G45</f>
        <v>0</v>
      </c>
      <c r="C5" s="343">
        <f>'Income Statement'!H45</f>
        <v>0</v>
      </c>
      <c r="D5" s="343">
        <f>'Income Statement'!I45</f>
        <v>0</v>
      </c>
      <c r="E5" s="343">
        <f>'Income Statement'!J45</f>
        <v>311133.3333333333</v>
      </c>
      <c r="F5" s="343">
        <f>'Income Statement'!K45</f>
        <v>336355.9083333333</v>
      </c>
      <c r="G5" s="343">
        <f>'Income Statement'!L45</f>
        <v>355213.9083333333</v>
      </c>
      <c r="H5" s="343">
        <f>'Income Statement'!M45</f>
        <v>374071.9083333333</v>
      </c>
      <c r="I5" s="343">
        <f>'Income Statement'!N45</f>
        <v>399294.48333333334</v>
      </c>
      <c r="J5" s="343">
        <f>'Income Statement'!O45</f>
        <v>418152.48333333334</v>
      </c>
      <c r="K5" s="343">
        <f>'Income Statement'!P45</f>
        <v>437010.48333333334</v>
      </c>
      <c r="L5" s="343">
        <f>'Income Statement'!Q45</f>
        <v>455868.48333333334</v>
      </c>
      <c r="M5" s="343">
        <f>'Income Statement'!R45</f>
        <v>520421.3333333333</v>
      </c>
    </row>
    <row r="6" ht="12">
      <c r="A6" s="351" t="s">
        <v>58</v>
      </c>
    </row>
    <row r="7" spans="1:13" ht="12">
      <c r="A7" s="352" t="s">
        <v>490</v>
      </c>
      <c r="B7" s="343">
        <f>'Expenses - Website'!I28</f>
        <v>201937.5</v>
      </c>
      <c r="C7" s="343">
        <f>'Expenses - Website'!J28</f>
        <v>209750</v>
      </c>
      <c r="D7" s="343">
        <f>'Expenses - Website'!K28</f>
        <v>217562.5</v>
      </c>
      <c r="E7" s="343">
        <f>'Expenses - Website'!L28</f>
        <v>167375</v>
      </c>
      <c r="F7" s="343">
        <f>'Expenses - Website'!M28</f>
        <v>190812.5</v>
      </c>
      <c r="G7" s="343">
        <f>'Expenses - Website'!N28</f>
        <v>222062.5</v>
      </c>
      <c r="H7" s="343">
        <f>'Expenses - Website'!O28</f>
        <v>261125</v>
      </c>
      <c r="I7" s="343">
        <f>'Expenses - Website'!P28</f>
        <v>292375</v>
      </c>
      <c r="J7" s="343">
        <f>'Expenses - Website'!Q28</f>
        <v>315812.5</v>
      </c>
      <c r="K7" s="343">
        <f>'Expenses - Website'!R28</f>
        <v>339250</v>
      </c>
      <c r="L7" s="343">
        <f>'Expenses - Website'!S28</f>
        <v>362687.5</v>
      </c>
      <c r="M7" s="343">
        <f>'Expenses - Website'!T28</f>
        <v>362687.5</v>
      </c>
    </row>
    <row r="8" spans="1:13" ht="12">
      <c r="A8" s="352" t="s">
        <v>491</v>
      </c>
      <c r="B8" s="343">
        <v>0</v>
      </c>
      <c r="C8" s="343">
        <v>0</v>
      </c>
      <c r="D8" s="343">
        <v>0</v>
      </c>
      <c r="E8" s="343">
        <f>'Expenses- BtoC'!$D$28/9</f>
        <v>36427.77777777778</v>
      </c>
      <c r="F8" s="343">
        <f>'Expenses- BtoC'!$D$28/9</f>
        <v>36427.77777777778</v>
      </c>
      <c r="G8" s="343">
        <f>'Expenses- BtoC'!$D$28/9</f>
        <v>36427.77777777778</v>
      </c>
      <c r="H8" s="343">
        <f>'Expenses- BtoC'!$D$28/9</f>
        <v>36427.77777777778</v>
      </c>
      <c r="I8" s="343">
        <f>'Expenses- BtoC'!$D$28/9</f>
        <v>36427.77777777778</v>
      </c>
      <c r="J8" s="343">
        <f>'Expenses- BtoC'!$D$28/9</f>
        <v>36427.77777777778</v>
      </c>
      <c r="K8" s="343">
        <f>'Expenses- BtoC'!$D$28/9</f>
        <v>36427.77777777778</v>
      </c>
      <c r="L8" s="343">
        <f>'Expenses- BtoC'!$D$28/9</f>
        <v>36427.77777777778</v>
      </c>
      <c r="M8" s="343">
        <f>'Expenses- BtoC'!$D$28/9</f>
        <v>36427.77777777778</v>
      </c>
    </row>
    <row r="9" spans="1:13" ht="12">
      <c r="A9" s="352" t="s">
        <v>492</v>
      </c>
      <c r="B9" s="343">
        <v>0</v>
      </c>
      <c r="C9" s="343">
        <v>0</v>
      </c>
      <c r="D9" s="343">
        <v>0</v>
      </c>
      <c r="E9" s="343">
        <f>'Expenses- B-to-B'!$D$22/9</f>
        <v>55982.083333333336</v>
      </c>
      <c r="F9" s="343">
        <f>'Expenses- B-to-B'!$D$22/9</f>
        <v>55982.083333333336</v>
      </c>
      <c r="G9" s="343">
        <f>'Expenses- B-to-B'!$D$22/9</f>
        <v>55982.083333333336</v>
      </c>
      <c r="H9" s="343">
        <f>'Expenses- B-to-B'!$D$22/9</f>
        <v>55982.083333333336</v>
      </c>
      <c r="I9" s="343">
        <f>'Expenses- B-to-B'!$D$22/9</f>
        <v>55982.083333333336</v>
      </c>
      <c r="J9" s="343">
        <f>'Expenses- B-to-B'!$D$22/9</f>
        <v>55982.083333333336</v>
      </c>
      <c r="K9" s="343">
        <f>'Expenses- B-to-B'!$D$22/9</f>
        <v>55982.083333333336</v>
      </c>
      <c r="L9" s="343">
        <f>'Expenses- B-to-B'!$D$22/9</f>
        <v>55982.083333333336</v>
      </c>
      <c r="M9" s="343">
        <f>'Expenses- B-to-B'!$D$22/9</f>
        <v>55982.083333333336</v>
      </c>
    </row>
    <row r="10" spans="1:13" ht="12">
      <c r="A10" s="351" t="s">
        <v>487</v>
      </c>
      <c r="B10" s="343">
        <f>B5-B7-B8-B9</f>
        <v>-201937.5</v>
      </c>
      <c r="C10" s="343">
        <f aca="true" t="shared" si="0" ref="C10:M10">C5-C7-C8-C9</f>
        <v>-209750</v>
      </c>
      <c r="D10" s="343">
        <f t="shared" si="0"/>
        <v>-217562.5</v>
      </c>
      <c r="E10" s="343">
        <f t="shared" si="0"/>
        <v>51348.4722222222</v>
      </c>
      <c r="F10" s="343">
        <f t="shared" si="0"/>
        <v>53133.54722222221</v>
      </c>
      <c r="G10" s="343">
        <f t="shared" si="0"/>
        <v>40741.54722222221</v>
      </c>
      <c r="H10" s="343">
        <f>H5-H7-H8-H9</f>
        <v>20537.04722222221</v>
      </c>
      <c r="I10" s="343">
        <f t="shared" si="0"/>
        <v>14509.62222222222</v>
      </c>
      <c r="J10" s="343">
        <f t="shared" si="0"/>
        <v>9930.12222222222</v>
      </c>
      <c r="K10" s="343">
        <f t="shared" si="0"/>
        <v>5350.62222222222</v>
      </c>
      <c r="L10" s="343">
        <f t="shared" si="0"/>
        <v>771.1222222222204</v>
      </c>
      <c r="M10" s="343">
        <f t="shared" si="0"/>
        <v>65323.9722222222</v>
      </c>
    </row>
    <row r="11" ht="12">
      <c r="A11" s="351"/>
    </row>
    <row r="12" spans="1:13" ht="12">
      <c r="A12" s="351" t="s">
        <v>489</v>
      </c>
      <c r="B12" s="343">
        <v>750000</v>
      </c>
      <c r="C12" s="343">
        <v>0</v>
      </c>
      <c r="D12" s="343">
        <v>0</v>
      </c>
      <c r="E12" s="343">
        <v>0</v>
      </c>
      <c r="F12" s="343">
        <v>0</v>
      </c>
      <c r="G12" s="343">
        <v>0</v>
      </c>
      <c r="H12" s="343">
        <v>0</v>
      </c>
      <c r="I12" s="343">
        <v>0</v>
      </c>
      <c r="J12" s="343">
        <v>0</v>
      </c>
      <c r="K12" s="343">
        <v>0</v>
      </c>
      <c r="L12" s="343">
        <v>0</v>
      </c>
      <c r="M12" s="343">
        <v>0</v>
      </c>
    </row>
    <row r="14" spans="1:13" ht="12">
      <c r="A14" s="343" t="s">
        <v>484</v>
      </c>
      <c r="B14" s="343">
        <v>750000</v>
      </c>
      <c r="C14" s="343">
        <f>B15</f>
        <v>548062.5</v>
      </c>
      <c r="D14" s="343">
        <f aca="true" t="shared" si="1" ref="D14:M14">C15</f>
        <v>338312.5</v>
      </c>
      <c r="E14" s="343">
        <f t="shared" si="1"/>
        <v>120750</v>
      </c>
      <c r="F14" s="343">
        <f t="shared" si="1"/>
        <v>172098.4722222222</v>
      </c>
      <c r="G14" s="343">
        <f t="shared" si="1"/>
        <v>225232.0194444444</v>
      </c>
      <c r="H14" s="343">
        <f t="shared" si="1"/>
        <v>265973.5666666666</v>
      </c>
      <c r="I14" s="343">
        <f t="shared" si="1"/>
        <v>286510.6138888888</v>
      </c>
      <c r="J14" s="343">
        <f t="shared" si="1"/>
        <v>301020.236111111</v>
      </c>
      <c r="K14" s="343">
        <f t="shared" si="1"/>
        <v>310950.3583333332</v>
      </c>
      <c r="L14" s="343">
        <f t="shared" si="1"/>
        <v>316300.98055555543</v>
      </c>
      <c r="M14" s="343">
        <f t="shared" si="1"/>
        <v>317072.10277777765</v>
      </c>
    </row>
    <row r="15" spans="1:13" ht="12">
      <c r="A15" s="343" t="s">
        <v>485</v>
      </c>
      <c r="B15" s="343">
        <f>B10+B14</f>
        <v>548062.5</v>
      </c>
      <c r="C15" s="343">
        <f>C10+C14</f>
        <v>338312.5</v>
      </c>
      <c r="D15" s="343">
        <f aca="true" t="shared" si="2" ref="D15:M15">D10+D14</f>
        <v>120750</v>
      </c>
      <c r="E15" s="343">
        <f t="shared" si="2"/>
        <v>172098.4722222222</v>
      </c>
      <c r="F15" s="343">
        <f t="shared" si="2"/>
        <v>225232.0194444444</v>
      </c>
      <c r="G15" s="343">
        <f t="shared" si="2"/>
        <v>265973.5666666666</v>
      </c>
      <c r="H15" s="343">
        <f t="shared" si="2"/>
        <v>286510.6138888888</v>
      </c>
      <c r="I15" s="343">
        <f t="shared" si="2"/>
        <v>301020.236111111</v>
      </c>
      <c r="J15" s="343">
        <f t="shared" si="2"/>
        <v>310950.3583333332</v>
      </c>
      <c r="K15" s="343">
        <f t="shared" si="2"/>
        <v>316300.98055555543</v>
      </c>
      <c r="L15" s="343">
        <f t="shared" si="2"/>
        <v>317072.10277777765</v>
      </c>
      <c r="M15" s="343">
        <f t="shared" si="2"/>
        <v>382396.07499999984</v>
      </c>
    </row>
  </sheetData>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dimension ref="A1:F22"/>
  <sheetViews>
    <sheetView zoomScale="110" zoomScaleNormal="110" workbookViewId="0" topLeftCell="A1">
      <selection activeCell="D17" sqref="D17"/>
    </sheetView>
  </sheetViews>
  <sheetFormatPr defaultColWidth="11.57421875" defaultRowHeight="12.75"/>
  <cols>
    <col min="1" max="1" width="24.8515625" style="25" customWidth="1"/>
    <col min="2" max="2" width="13.28125" style="25" customWidth="1"/>
    <col min="3" max="3" width="19.140625" style="25" customWidth="1"/>
    <col min="4" max="4" width="9.7109375" style="25" customWidth="1"/>
    <col min="5" max="5" width="14.421875" style="25" customWidth="1"/>
    <col min="6" max="6" width="11.00390625" style="25" customWidth="1"/>
    <col min="7" max="16384" width="11.421875" style="25" customWidth="1"/>
  </cols>
  <sheetData>
    <row r="1" spans="1:6" ht="28.5" customHeight="1">
      <c r="A1" s="91" t="s">
        <v>538</v>
      </c>
      <c r="B1" s="91" t="s">
        <v>411</v>
      </c>
      <c r="C1" s="91" t="s">
        <v>412</v>
      </c>
      <c r="D1" s="91" t="s">
        <v>413</v>
      </c>
      <c r="E1" s="91" t="s">
        <v>414</v>
      </c>
      <c r="F1" s="91" t="s">
        <v>415</v>
      </c>
    </row>
    <row r="2" spans="1:4" ht="15.75" customHeight="1">
      <c r="A2" s="25" t="s">
        <v>416</v>
      </c>
      <c r="B2" s="92">
        <v>14000000</v>
      </c>
      <c r="C2" s="92">
        <v>22000000</v>
      </c>
      <c r="D2" s="10">
        <f aca="true" t="shared" si="0" ref="D2:D13">B2/C2</f>
        <v>0.6363636363636364</v>
      </c>
    </row>
    <row r="3" spans="1:4" ht="15.75" customHeight="1">
      <c r="A3" s="25" t="s">
        <v>417</v>
      </c>
      <c r="B3" s="92">
        <v>7500000</v>
      </c>
      <c r="C3" s="92">
        <v>17800000</v>
      </c>
      <c r="D3" s="10">
        <f t="shared" si="0"/>
        <v>0.42134831460674155</v>
      </c>
    </row>
    <row r="4" spans="1:4" ht="15.75" customHeight="1">
      <c r="A4" s="25" t="s">
        <v>295</v>
      </c>
      <c r="B4" s="92">
        <v>3400000</v>
      </c>
      <c r="C4" s="92">
        <v>9800000</v>
      </c>
      <c r="D4" s="10">
        <f t="shared" si="0"/>
        <v>0.3469387755102041</v>
      </c>
    </row>
    <row r="5" spans="1:4" ht="15.75" customHeight="1">
      <c r="A5" s="25" t="s">
        <v>296</v>
      </c>
      <c r="B5" s="92">
        <v>9000000</v>
      </c>
      <c r="C5" s="92">
        <v>8300000</v>
      </c>
      <c r="D5" s="10">
        <f t="shared" si="0"/>
        <v>1.0843373493975903</v>
      </c>
    </row>
    <row r="6" spans="1:4" ht="15.75" customHeight="1">
      <c r="A6" s="25" t="s">
        <v>297</v>
      </c>
      <c r="B6" s="92">
        <v>4200000</v>
      </c>
      <c r="C6" s="92">
        <v>7500000</v>
      </c>
      <c r="D6" s="10">
        <f t="shared" si="0"/>
        <v>0.56</v>
      </c>
    </row>
    <row r="7" spans="1:4" ht="15.75" customHeight="1">
      <c r="A7" s="25" t="s">
        <v>298</v>
      </c>
      <c r="B7" s="92">
        <v>8500000</v>
      </c>
      <c r="C7" s="92">
        <v>7400000</v>
      </c>
      <c r="D7" s="10">
        <f t="shared" si="0"/>
        <v>1.1486486486486487</v>
      </c>
    </row>
    <row r="8" spans="1:4" ht="15.75" customHeight="1">
      <c r="A8" s="25" t="s">
        <v>299</v>
      </c>
      <c r="B8" s="92">
        <v>3600000</v>
      </c>
      <c r="C8" s="92">
        <v>5800000</v>
      </c>
      <c r="D8" s="10">
        <f t="shared" si="0"/>
        <v>0.6206896551724138</v>
      </c>
    </row>
    <row r="9" spans="1:4" ht="15.75" customHeight="1">
      <c r="A9" s="25" t="s">
        <v>300</v>
      </c>
      <c r="B9" s="92">
        <v>2500000</v>
      </c>
      <c r="C9" s="92">
        <v>5700000</v>
      </c>
      <c r="D9" s="10">
        <f t="shared" si="0"/>
        <v>0.43859649122807015</v>
      </c>
    </row>
    <row r="10" spans="1:6" ht="15.75" customHeight="1">
      <c r="A10" s="95" t="s">
        <v>301</v>
      </c>
      <c r="B10" s="96">
        <v>3800000</v>
      </c>
      <c r="C10" s="96">
        <v>4100000</v>
      </c>
      <c r="D10" s="97">
        <f t="shared" si="0"/>
        <v>0.926829268292683</v>
      </c>
      <c r="E10" s="96">
        <v>100000000</v>
      </c>
      <c r="F10" s="98">
        <f>E10/B10</f>
        <v>26.31578947368421</v>
      </c>
    </row>
    <row r="11" spans="1:6" ht="15.75" customHeight="1">
      <c r="A11" s="95" t="s">
        <v>302</v>
      </c>
      <c r="B11" s="96">
        <v>5000000</v>
      </c>
      <c r="C11" s="96">
        <v>3600000</v>
      </c>
      <c r="D11" s="97">
        <f t="shared" si="0"/>
        <v>1.3888888888888888</v>
      </c>
      <c r="E11" s="96">
        <v>60000000</v>
      </c>
      <c r="F11" s="98">
        <f>E11/B11</f>
        <v>12</v>
      </c>
    </row>
    <row r="12" spans="1:6" ht="15.75" customHeight="1">
      <c r="A12" s="95" t="s">
        <v>303</v>
      </c>
      <c r="B12" s="96">
        <v>2200000</v>
      </c>
      <c r="C12" s="96">
        <v>2000000</v>
      </c>
      <c r="D12" s="97">
        <f t="shared" si="0"/>
        <v>1.1</v>
      </c>
      <c r="E12" s="96">
        <v>38000000</v>
      </c>
      <c r="F12" s="98">
        <f>E12/B12</f>
        <v>17.272727272727273</v>
      </c>
    </row>
    <row r="13" spans="1:6" ht="15.75" customHeight="1">
      <c r="A13" s="95" t="s">
        <v>304</v>
      </c>
      <c r="B13" s="96">
        <v>2900000</v>
      </c>
      <c r="C13" s="96">
        <v>1700000</v>
      </c>
      <c r="D13" s="97">
        <f t="shared" si="0"/>
        <v>1.7058823529411764</v>
      </c>
      <c r="E13" s="96">
        <v>25000000</v>
      </c>
      <c r="F13" s="98">
        <f>E13/B13</f>
        <v>8.620689655172415</v>
      </c>
    </row>
    <row r="14" spans="4:6" ht="15.75" customHeight="1">
      <c r="D14" s="10">
        <f>SUMPRODUCT(C10:C13,D10:D13)/SUM(C10:C13)</f>
        <v>1.219298245614035</v>
      </c>
      <c r="F14" s="92">
        <f>SUMPRODUCT(E10:E13,F10:F13)/SUM(E10:E13)</f>
        <v>18.939281726956807</v>
      </c>
    </row>
    <row r="15" spans="2:6" ht="15.75" customHeight="1">
      <c r="B15" s="25" t="s">
        <v>196</v>
      </c>
      <c r="C15" s="25" t="s">
        <v>305</v>
      </c>
      <c r="D15" s="93">
        <f>D14*0.2</f>
        <v>0.24385964912280703</v>
      </c>
      <c r="F15" s="94">
        <f>F14*0.2</f>
        <v>3.7878563453913614</v>
      </c>
    </row>
    <row r="16" spans="2:6" ht="15.75" customHeight="1">
      <c r="B16" s="25" t="s">
        <v>197</v>
      </c>
      <c r="C16" s="25" t="s">
        <v>306</v>
      </c>
      <c r="D16" s="93">
        <f>D14*0.4</f>
        <v>0.48771929824561405</v>
      </c>
      <c r="F16" s="94">
        <f>F14*0.4</f>
        <v>7.575712690782723</v>
      </c>
    </row>
    <row r="17" spans="2:6" ht="15.75" customHeight="1">
      <c r="B17" s="25" t="s">
        <v>198</v>
      </c>
      <c r="C17" s="25" t="s">
        <v>307</v>
      </c>
      <c r="D17" s="93">
        <f>D14*0.6</f>
        <v>0.731578947368421</v>
      </c>
      <c r="F17" s="94">
        <f>F14*0.6</f>
        <v>11.363569036174084</v>
      </c>
    </row>
    <row r="19" ht="13.5">
      <c r="D19" s="10"/>
    </row>
    <row r="20" ht="13.5">
      <c r="A20" s="25" t="s">
        <v>308</v>
      </c>
    </row>
    <row r="21" ht="13.5">
      <c r="A21" s="30" t="s">
        <v>309</v>
      </c>
    </row>
    <row r="22" ht="13.5">
      <c r="A22" s="25" t="s">
        <v>310</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2:BX94"/>
  <sheetViews>
    <sheetView zoomScale="110" zoomScaleNormal="110" workbookViewId="0" topLeftCell="A1">
      <pane xSplit="1" topLeftCell="B1" activePane="topRight" state="frozen"/>
      <selection pane="topLeft" activeCell="A1" sqref="A1"/>
      <selection pane="topRight" activeCell="B2" sqref="B2:C2"/>
    </sheetView>
  </sheetViews>
  <sheetFormatPr defaultColWidth="8.8515625" defaultRowHeight="12.75"/>
  <cols>
    <col min="1" max="1" width="41.421875" style="26" bestFit="1" customWidth="1"/>
    <col min="2" max="2" width="11.28125" style="26" customWidth="1"/>
    <col min="3" max="3" width="12.421875" style="26" bestFit="1" customWidth="1"/>
    <col min="4" max="4" width="13.421875" style="26" bestFit="1" customWidth="1"/>
    <col min="5" max="5" width="19.421875" style="26" customWidth="1"/>
    <col min="6" max="6" width="0.9921875" style="26" customWidth="1"/>
    <col min="7" max="7" width="12.140625" style="26" bestFit="1" customWidth="1"/>
    <col min="8" max="25" width="8.421875" style="26" bestFit="1" customWidth="1"/>
    <col min="26" max="28" width="8.8515625" style="26" customWidth="1"/>
    <col min="29" max="42" width="8.8515625" style="26" bestFit="1" customWidth="1"/>
    <col min="43" max="16384" width="8.8515625" style="26" customWidth="1"/>
  </cols>
  <sheetData>
    <row r="2" spans="1:6" ht="13.5">
      <c r="A2" s="375" t="s">
        <v>206</v>
      </c>
      <c r="B2" s="375"/>
      <c r="C2" s="375"/>
      <c r="D2" s="375"/>
      <c r="E2" s="55"/>
      <c r="F2" s="55"/>
    </row>
    <row r="3" spans="1:7" ht="13.5">
      <c r="A3" s="295"/>
      <c r="B3" s="296" t="s">
        <v>196</v>
      </c>
      <c r="C3" s="296" t="s">
        <v>197</v>
      </c>
      <c r="D3" s="296" t="s">
        <v>198</v>
      </c>
      <c r="E3" s="59"/>
      <c r="F3" s="59"/>
      <c r="G3" s="46"/>
    </row>
    <row r="4" spans="1:6" ht="13.5">
      <c r="A4" s="297"/>
      <c r="B4" s="275"/>
      <c r="C4" s="274"/>
      <c r="D4" s="274"/>
      <c r="E4" s="55"/>
      <c r="F4" s="55"/>
    </row>
    <row r="5" spans="1:7" ht="13.5">
      <c r="A5" s="298" t="s">
        <v>259</v>
      </c>
      <c r="B5" s="276">
        <f>B45</f>
        <v>3844942.9484068397</v>
      </c>
      <c r="C5" s="276">
        <f>C45</f>
        <v>10920706.036628354</v>
      </c>
      <c r="D5" s="276">
        <f>D45</f>
        <v>19871008.650381003</v>
      </c>
      <c r="E5" s="55"/>
      <c r="F5" s="55"/>
      <c r="G5" s="153"/>
    </row>
    <row r="6" spans="1:6" ht="13.5">
      <c r="A6" s="274"/>
      <c r="B6" s="275"/>
      <c r="C6" s="274"/>
      <c r="D6" s="274"/>
      <c r="E6" s="55"/>
      <c r="F6" s="55"/>
    </row>
    <row r="7" spans="1:6" ht="13.5">
      <c r="A7" s="298" t="s">
        <v>260</v>
      </c>
      <c r="B7" s="276">
        <f>B76</f>
        <v>3975126.25</v>
      </c>
      <c r="C7" s="276">
        <f>C76</f>
        <v>7867840.125</v>
      </c>
      <c r="D7" s="276">
        <f>D76</f>
        <v>10502874.2671875</v>
      </c>
      <c r="E7" s="45"/>
      <c r="F7" s="55"/>
    </row>
    <row r="8" spans="1:6" ht="13.5">
      <c r="A8" s="274"/>
      <c r="B8" s="275"/>
      <c r="C8" s="274"/>
      <c r="D8" s="274"/>
      <c r="E8" s="45"/>
      <c r="F8" s="55"/>
    </row>
    <row r="9" spans="1:6" ht="13.5">
      <c r="A9" s="298" t="s">
        <v>462</v>
      </c>
      <c r="B9" s="299">
        <f>B5-B7</f>
        <v>-130183.30159316026</v>
      </c>
      <c r="C9" s="299">
        <f>C5-C7</f>
        <v>3052865.9116283543</v>
      </c>
      <c r="D9" s="299">
        <f>D5-D7</f>
        <v>9368134.383193502</v>
      </c>
      <c r="E9" s="55"/>
      <c r="F9" s="55"/>
    </row>
    <row r="10" spans="1:6" s="45" customFormat="1" ht="13.5">
      <c r="A10" s="286"/>
      <c r="B10" s="287"/>
      <c r="C10" s="287"/>
      <c r="D10" s="287"/>
      <c r="E10" s="205"/>
      <c r="F10" s="205"/>
    </row>
    <row r="11" spans="1:6" ht="15" thickBot="1">
      <c r="A11" s="55"/>
      <c r="B11" s="56"/>
      <c r="C11" s="55"/>
      <c r="D11" s="55"/>
      <c r="E11" s="55"/>
      <c r="F11" s="55"/>
    </row>
    <row r="12" spans="1:42" ht="13.5">
      <c r="A12" s="300"/>
      <c r="B12" s="301"/>
      <c r="C12" s="301"/>
      <c r="D12" s="301"/>
      <c r="E12" s="308"/>
      <c r="F12" s="254"/>
      <c r="G12" s="53" t="s">
        <v>196</v>
      </c>
      <c r="H12" s="54"/>
      <c r="I12" s="54"/>
      <c r="J12" s="54"/>
      <c r="K12" s="54"/>
      <c r="L12" s="54"/>
      <c r="M12" s="54"/>
      <c r="N12" s="54"/>
      <c r="O12" s="54"/>
      <c r="P12" s="54"/>
      <c r="Q12" s="54"/>
      <c r="R12" s="39"/>
      <c r="S12" s="53" t="s">
        <v>197</v>
      </c>
      <c r="T12" s="54"/>
      <c r="U12" s="54"/>
      <c r="V12" s="54"/>
      <c r="W12" s="54"/>
      <c r="X12" s="54"/>
      <c r="Y12" s="54"/>
      <c r="Z12" s="54"/>
      <c r="AA12" s="54"/>
      <c r="AB12" s="54"/>
      <c r="AC12" s="54"/>
      <c r="AD12" s="39"/>
      <c r="AE12" s="53" t="s">
        <v>198</v>
      </c>
      <c r="AF12" s="54"/>
      <c r="AG12" s="54"/>
      <c r="AH12" s="54"/>
      <c r="AI12" s="54"/>
      <c r="AJ12" s="54"/>
      <c r="AK12" s="54"/>
      <c r="AL12" s="54"/>
      <c r="AM12" s="54"/>
      <c r="AN12" s="54"/>
      <c r="AO12" s="54"/>
      <c r="AP12" s="39"/>
    </row>
    <row r="13" spans="1:42" ht="13.5" customHeight="1" thickBot="1">
      <c r="A13" s="307" t="s">
        <v>259</v>
      </c>
      <c r="B13" s="318" t="s">
        <v>196</v>
      </c>
      <c r="C13" s="318" t="s">
        <v>197</v>
      </c>
      <c r="D13" s="318" t="s">
        <v>198</v>
      </c>
      <c r="E13" s="309" t="s">
        <v>207</v>
      </c>
      <c r="F13" s="284"/>
      <c r="G13" s="279" t="s">
        <v>200</v>
      </c>
      <c r="H13" s="280" t="s">
        <v>201</v>
      </c>
      <c r="I13" s="280" t="s">
        <v>202</v>
      </c>
      <c r="J13" s="280" t="s">
        <v>203</v>
      </c>
      <c r="K13" s="280" t="s">
        <v>477</v>
      </c>
      <c r="L13" s="280" t="s">
        <v>357</v>
      </c>
      <c r="M13" s="280" t="s">
        <v>358</v>
      </c>
      <c r="N13" s="280" t="s">
        <v>359</v>
      </c>
      <c r="O13" s="280" t="s">
        <v>360</v>
      </c>
      <c r="P13" s="280" t="s">
        <v>361</v>
      </c>
      <c r="Q13" s="280" t="s">
        <v>362</v>
      </c>
      <c r="R13" s="280" t="s">
        <v>363</v>
      </c>
      <c r="S13" s="279" t="s">
        <v>200</v>
      </c>
      <c r="T13" s="280" t="s">
        <v>201</v>
      </c>
      <c r="U13" s="280" t="s">
        <v>202</v>
      </c>
      <c r="V13" s="280" t="s">
        <v>203</v>
      </c>
      <c r="W13" s="280" t="s">
        <v>477</v>
      </c>
      <c r="X13" s="280" t="s">
        <v>357</v>
      </c>
      <c r="Y13" s="280" t="s">
        <v>358</v>
      </c>
      <c r="Z13" s="280" t="s">
        <v>359</v>
      </c>
      <c r="AA13" s="280" t="s">
        <v>360</v>
      </c>
      <c r="AB13" s="280" t="s">
        <v>361</v>
      </c>
      <c r="AC13" s="280" t="s">
        <v>362</v>
      </c>
      <c r="AD13" s="280" t="s">
        <v>363</v>
      </c>
      <c r="AE13" s="281" t="s">
        <v>200</v>
      </c>
      <c r="AF13" s="282" t="s">
        <v>201</v>
      </c>
      <c r="AG13" s="282" t="s">
        <v>202</v>
      </c>
      <c r="AH13" s="282" t="s">
        <v>203</v>
      </c>
      <c r="AI13" s="282" t="s">
        <v>477</v>
      </c>
      <c r="AJ13" s="282" t="s">
        <v>357</v>
      </c>
      <c r="AK13" s="282" t="s">
        <v>358</v>
      </c>
      <c r="AL13" s="282" t="s">
        <v>359</v>
      </c>
      <c r="AM13" s="282" t="s">
        <v>360</v>
      </c>
      <c r="AN13" s="282" t="s">
        <v>361</v>
      </c>
      <c r="AO13" s="282" t="s">
        <v>362</v>
      </c>
      <c r="AP13" s="283" t="s">
        <v>363</v>
      </c>
    </row>
    <row r="14" spans="1:42" ht="13.5">
      <c r="A14" s="46"/>
      <c r="B14" s="47"/>
      <c r="C14" s="47"/>
      <c r="D14" s="47"/>
      <c r="E14" s="310"/>
      <c r="F14" s="285"/>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15"/>
    </row>
    <row r="15" spans="1:42" ht="12.75" customHeight="1">
      <c r="A15" s="36" t="s">
        <v>405</v>
      </c>
      <c r="B15" s="47"/>
      <c r="C15" s="47"/>
      <c r="D15" s="47"/>
      <c r="E15" s="310"/>
      <c r="F15" s="285"/>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15"/>
    </row>
    <row r="16" spans="1:42" ht="12" customHeight="1">
      <c r="A16" s="314" t="s">
        <v>437</v>
      </c>
      <c r="B16" s="49">
        <f>'Revenue - Website'!C8</f>
        <v>1121444.3250000002</v>
      </c>
      <c r="C16" s="49">
        <f>'Revenue - Website'!D8</f>
        <v>5361270.12</v>
      </c>
      <c r="D16" s="49">
        <f>'Revenue - Website'!E8</f>
        <v>9591551.279999996</v>
      </c>
      <c r="E16" s="310"/>
      <c r="F16" s="285"/>
      <c r="G16" s="48">
        <f>'Revenue - Website'!B78</f>
        <v>0</v>
      </c>
      <c r="H16" s="48">
        <f>'Revenue - Website'!C78</f>
        <v>0</v>
      </c>
      <c r="I16" s="48">
        <f>'Revenue - Website'!D78</f>
        <v>0</v>
      </c>
      <c r="J16" s="48">
        <f>'Revenue - Website'!E78</f>
        <v>35108</v>
      </c>
      <c r="K16" s="48">
        <f>'Revenue - Website'!F78</f>
        <v>60330.575</v>
      </c>
      <c r="L16" s="48">
        <f>'Revenue - Website'!G78</f>
        <v>79188.575</v>
      </c>
      <c r="M16" s="48">
        <f>'Revenue - Website'!H78</f>
        <v>98046.575</v>
      </c>
      <c r="N16" s="48">
        <f>'Revenue - Website'!I78</f>
        <v>123269.15</v>
      </c>
      <c r="O16" s="48">
        <f>'Revenue - Website'!J78</f>
        <v>142127.15000000002</v>
      </c>
      <c r="P16" s="48">
        <f>'Revenue - Website'!K78</f>
        <v>160985.15000000002</v>
      </c>
      <c r="Q16" s="48">
        <f>'Revenue - Website'!L78</f>
        <v>179843.15</v>
      </c>
      <c r="R16" s="48">
        <f>'Revenue - Website'!M78</f>
        <v>242546</v>
      </c>
      <c r="S16" s="48">
        <f>'Revenue - Website'!N78</f>
        <v>298804.14</v>
      </c>
      <c r="T16" s="48">
        <f>'Revenue - Website'!O78</f>
        <v>325707.48000000004</v>
      </c>
      <c r="U16" s="48">
        <f>'Revenue - Website'!P78</f>
        <v>352610.82000000007</v>
      </c>
      <c r="V16" s="48">
        <f>'Revenue - Website'!Q78</f>
        <v>379514.16000000003</v>
      </c>
      <c r="W16" s="48">
        <f>'Revenue - Website'!R78</f>
        <v>406417.5</v>
      </c>
      <c r="X16" s="48">
        <f>'Revenue - Website'!S78</f>
        <v>433320.83999999997</v>
      </c>
      <c r="Y16" s="48">
        <f>'Revenue - Website'!T78</f>
        <v>460224.18000000005</v>
      </c>
      <c r="Z16" s="48">
        <f>'Revenue - Website'!U78</f>
        <v>487127.5200000001</v>
      </c>
      <c r="AA16" s="48">
        <f>'Revenue - Website'!V78</f>
        <v>514030.8600000001</v>
      </c>
      <c r="AB16" s="48">
        <f>'Revenue - Website'!W78</f>
        <v>540934.2000000001</v>
      </c>
      <c r="AC16" s="48">
        <f>'Revenue - Website'!X78</f>
        <v>567837.5400000002</v>
      </c>
      <c r="AD16" s="48">
        <f>'Revenue - Website'!Y78</f>
        <v>594740.8800000001</v>
      </c>
      <c r="AE16" s="48">
        <f>'Revenue - Website'!Z78</f>
        <v>666478.53</v>
      </c>
      <c r="AF16" s="48">
        <f>'Revenue - Website'!AA78</f>
        <v>690627.15</v>
      </c>
      <c r="AG16" s="48">
        <f>'Revenue - Website'!AB78</f>
        <v>714775.77</v>
      </c>
      <c r="AH16" s="48">
        <f>'Revenue - Website'!AC78</f>
        <v>738924.39</v>
      </c>
      <c r="AI16" s="48">
        <f>'Revenue - Website'!AD78</f>
        <v>763073.0099999999</v>
      </c>
      <c r="AJ16" s="48">
        <f>'Revenue - Website'!AE78</f>
        <v>787221.6299999997</v>
      </c>
      <c r="AK16" s="48">
        <f>'Revenue - Website'!AF78</f>
        <v>811370.2499999998</v>
      </c>
      <c r="AL16" s="48">
        <f>'Revenue - Website'!AG78</f>
        <v>835518.8699999995</v>
      </c>
      <c r="AM16" s="48">
        <f>'Revenue - Website'!AH78</f>
        <v>859667.4899999996</v>
      </c>
      <c r="AN16" s="48">
        <f>'Revenue - Website'!AI78</f>
        <v>883816.1099999996</v>
      </c>
      <c r="AO16" s="48">
        <f>'Revenue - Website'!AJ78</f>
        <v>907964.7299999995</v>
      </c>
      <c r="AP16" s="15">
        <f>'Revenue - Website'!AK78</f>
        <v>932113.35</v>
      </c>
    </row>
    <row r="17" spans="1:42" ht="13.5">
      <c r="A17" s="315" t="s">
        <v>438</v>
      </c>
      <c r="B17" s="49">
        <f>SUM('Revenue - Website'!B75:M75)</f>
        <v>209080.6234068395</v>
      </c>
      <c r="C17" s="49">
        <f>SUM('Revenue - Website'!N75:Y75)</f>
        <v>744867.1832950201</v>
      </c>
      <c r="D17" s="49">
        <f>SUM('Revenue - Website'!Z75:AK75)</f>
        <v>1691192.1328810086</v>
      </c>
      <c r="E17" s="310"/>
      <c r="F17" s="285"/>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15"/>
    </row>
    <row r="18" spans="1:42" ht="12.75" customHeight="1">
      <c r="A18" s="36" t="s">
        <v>512</v>
      </c>
      <c r="B18" s="49">
        <f>SUM(B16:B17)</f>
        <v>1330524.9484068397</v>
      </c>
      <c r="C18" s="49">
        <f>SUM(C16:C17)</f>
        <v>6106137.30329502</v>
      </c>
      <c r="D18" s="49">
        <f>SUM(D16:D17)</f>
        <v>11282743.412881004</v>
      </c>
      <c r="E18" s="310"/>
      <c r="F18" s="285"/>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15"/>
    </row>
    <row r="19" spans="1:42" ht="13.5">
      <c r="A19" s="50"/>
      <c r="B19" s="293"/>
      <c r="C19" s="294"/>
      <c r="D19" s="294"/>
      <c r="E19" s="310"/>
      <c r="F19" s="285"/>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15"/>
    </row>
    <row r="20" spans="1:42" ht="13.5">
      <c r="A20" s="302" t="s">
        <v>261</v>
      </c>
      <c r="B20" s="47"/>
      <c r="C20" s="47"/>
      <c r="D20" s="47"/>
      <c r="E20" s="310"/>
      <c r="F20" s="285"/>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15"/>
    </row>
    <row r="21" spans="1:42" ht="13.5">
      <c r="A21" s="316" t="s">
        <v>262</v>
      </c>
      <c r="B21" s="49">
        <f>'Revenue - B-to-C'!C4</f>
        <v>14560</v>
      </c>
      <c r="C21" s="49">
        <f>'Revenue - B-to-C'!D4</f>
        <v>47902.4</v>
      </c>
      <c r="D21" s="49">
        <f>'Revenue - B-to-C'!E4</f>
        <v>91728</v>
      </c>
      <c r="E21" s="310" t="str">
        <f>'Revenue - B-to-C'!F4</f>
        <v>year 1 launch</v>
      </c>
      <c r="F21" s="285"/>
      <c r="G21" s="48">
        <f>'Revenue - B-to-C'!H4</f>
        <v>0</v>
      </c>
      <c r="H21" s="48">
        <f>'Revenue - B-to-C'!I4</f>
        <v>0</v>
      </c>
      <c r="I21" s="48">
        <f>'Revenue - B-to-C'!J4</f>
        <v>0</v>
      </c>
      <c r="J21" s="48">
        <f>'Revenue - B-to-C'!K4</f>
        <v>1213.3333333333333</v>
      </c>
      <c r="K21" s="48">
        <f>'Revenue - B-to-C'!L4</f>
        <v>1213.3333333333333</v>
      </c>
      <c r="L21" s="48">
        <f>'Revenue - B-to-C'!M4</f>
        <v>1213.3333333333333</v>
      </c>
      <c r="M21" s="48">
        <f>'Revenue - B-to-C'!N4</f>
        <v>1213.3333333333333</v>
      </c>
      <c r="N21" s="48">
        <f>'Revenue - B-to-C'!O4</f>
        <v>1213.3333333333333</v>
      </c>
      <c r="O21" s="48">
        <f>'Revenue - B-to-C'!P4</f>
        <v>1213.3333333333333</v>
      </c>
      <c r="P21" s="48">
        <f>'Revenue - B-to-C'!Q4</f>
        <v>1213.3333333333333</v>
      </c>
      <c r="Q21" s="48">
        <f>'Revenue - B-to-C'!R4</f>
        <v>1213.3333333333333</v>
      </c>
      <c r="R21" s="48">
        <f>'Revenue - B-to-C'!S4</f>
        <v>1213.3333333333333</v>
      </c>
      <c r="S21" s="48">
        <f>'Revenue - B-to-C'!T4</f>
        <v>3991.866666666667</v>
      </c>
      <c r="T21" s="48">
        <f>'Revenue - B-to-C'!U4</f>
        <v>3991.866666666667</v>
      </c>
      <c r="U21" s="48">
        <f>'Revenue - B-to-C'!V4</f>
        <v>3991.866666666667</v>
      </c>
      <c r="V21" s="48">
        <f>'Revenue - B-to-C'!W4</f>
        <v>3991.866666666667</v>
      </c>
      <c r="W21" s="48">
        <f>'Revenue - B-to-C'!X4</f>
        <v>3991.866666666667</v>
      </c>
      <c r="X21" s="48">
        <f>'Revenue - B-to-C'!Y4</f>
        <v>3991.866666666667</v>
      </c>
      <c r="Y21" s="48">
        <f>'Revenue - B-to-C'!Z4</f>
        <v>3991.866666666667</v>
      </c>
      <c r="Z21" s="48">
        <f>'Revenue - B-to-C'!AA4</f>
        <v>3991.866666666667</v>
      </c>
      <c r="AA21" s="48">
        <f>'Revenue - B-to-C'!AB4</f>
        <v>3991.866666666667</v>
      </c>
      <c r="AB21" s="48">
        <f>'Revenue - B-to-C'!AC4</f>
        <v>3991.866666666667</v>
      </c>
      <c r="AC21" s="48">
        <f>'Revenue - B-to-C'!AD4</f>
        <v>3991.866666666667</v>
      </c>
      <c r="AD21" s="48">
        <f>'Revenue - B-to-C'!AE4</f>
        <v>3991.866666666667</v>
      </c>
      <c r="AE21" s="48">
        <f>'Revenue - B-to-C'!AF4</f>
        <v>7644</v>
      </c>
      <c r="AF21" s="48">
        <f>'Revenue - B-to-C'!AG4</f>
        <v>7644</v>
      </c>
      <c r="AG21" s="48">
        <f>'Revenue - B-to-C'!AH4</f>
        <v>7644</v>
      </c>
      <c r="AH21" s="48">
        <f>'Revenue - B-to-C'!AI4</f>
        <v>7644</v>
      </c>
      <c r="AI21" s="48">
        <f>'Revenue - B-to-C'!AJ4</f>
        <v>7644</v>
      </c>
      <c r="AJ21" s="48">
        <f>'Revenue - B-to-C'!AK4</f>
        <v>7644</v>
      </c>
      <c r="AK21" s="48">
        <f>'Revenue - B-to-C'!AL4</f>
        <v>7644</v>
      </c>
      <c r="AL21" s="48">
        <f>'Revenue - B-to-C'!AM4</f>
        <v>7644</v>
      </c>
      <c r="AM21" s="48">
        <f>'Revenue - B-to-C'!AN4</f>
        <v>7644</v>
      </c>
      <c r="AN21" s="48">
        <f>'Revenue - B-to-C'!AO4</f>
        <v>7644</v>
      </c>
      <c r="AO21" s="48">
        <f>'Revenue - B-to-C'!AP4</f>
        <v>7644</v>
      </c>
      <c r="AP21" s="15">
        <f>'Revenue - B-to-C'!AQ4</f>
        <v>7644</v>
      </c>
    </row>
    <row r="22" spans="1:42" ht="13.5">
      <c r="A22" s="316" t="s">
        <v>263</v>
      </c>
      <c r="B22" s="49">
        <f>'Revenue - B-to-C'!C6</f>
        <v>312000</v>
      </c>
      <c r="C22" s="49">
        <f>'Revenue - B-to-C'!D6</f>
        <v>416000</v>
      </c>
      <c r="D22" s="49">
        <f>'Revenue - B-to-C'!E6</f>
        <v>416000</v>
      </c>
      <c r="E22" s="310" t="str">
        <f>'Revenue - B-to-C'!F6</f>
        <v>year 1 launch</v>
      </c>
      <c r="F22" s="285"/>
      <c r="G22" s="48">
        <f>'Revenue - B-to-C'!H6</f>
        <v>0</v>
      </c>
      <c r="H22" s="48">
        <f>'Revenue - B-to-C'!I6</f>
        <v>0</v>
      </c>
      <c r="I22" s="48">
        <f>'Revenue - B-to-C'!J6</f>
        <v>0</v>
      </c>
      <c r="J22" s="48">
        <f>'Revenue - B-to-C'!K6</f>
        <v>34666.666666666664</v>
      </c>
      <c r="K22" s="48">
        <f>'Revenue - B-to-C'!L6</f>
        <v>34666.666666666664</v>
      </c>
      <c r="L22" s="48">
        <f>'Revenue - B-to-C'!M6</f>
        <v>34666.666666666664</v>
      </c>
      <c r="M22" s="48">
        <f>'Revenue - B-to-C'!N6</f>
        <v>34666.666666666664</v>
      </c>
      <c r="N22" s="48">
        <f>'Revenue - B-to-C'!O6</f>
        <v>34666.666666666664</v>
      </c>
      <c r="O22" s="48">
        <f>'Revenue - B-to-C'!P6</f>
        <v>34666.666666666664</v>
      </c>
      <c r="P22" s="48">
        <f>'Revenue - B-to-C'!Q6</f>
        <v>34666.666666666664</v>
      </c>
      <c r="Q22" s="48">
        <f>'Revenue - B-to-C'!R6</f>
        <v>34666.666666666664</v>
      </c>
      <c r="R22" s="48">
        <f>'Revenue - B-to-C'!S6</f>
        <v>34666.666666666664</v>
      </c>
      <c r="S22" s="48">
        <f>'Revenue - B-to-C'!T6</f>
        <v>34666.666666666664</v>
      </c>
      <c r="T22" s="48">
        <f>'Revenue - B-to-C'!U6</f>
        <v>34666.666666666664</v>
      </c>
      <c r="U22" s="48">
        <f>'Revenue - B-to-C'!V6</f>
        <v>34666.666666666664</v>
      </c>
      <c r="V22" s="48">
        <f>'Revenue - B-to-C'!W6</f>
        <v>34666.666666666664</v>
      </c>
      <c r="W22" s="48">
        <f>'Revenue - B-to-C'!X6</f>
        <v>34666.666666666664</v>
      </c>
      <c r="X22" s="48">
        <f>'Revenue - B-to-C'!Y6</f>
        <v>34666.666666666664</v>
      </c>
      <c r="Y22" s="48">
        <f>'Revenue - B-to-C'!Z6</f>
        <v>34666.666666666664</v>
      </c>
      <c r="Z22" s="48">
        <f>'Revenue - B-to-C'!AA6</f>
        <v>34666.666666666664</v>
      </c>
      <c r="AA22" s="48">
        <f>'Revenue - B-to-C'!AB6</f>
        <v>34666.666666666664</v>
      </c>
      <c r="AB22" s="48">
        <f>'Revenue - B-to-C'!AC6</f>
        <v>34666.666666666664</v>
      </c>
      <c r="AC22" s="48">
        <f>'Revenue - B-to-C'!AD6</f>
        <v>34666.666666666664</v>
      </c>
      <c r="AD22" s="48">
        <f>'Revenue - B-to-C'!AE6</f>
        <v>34666.666666666664</v>
      </c>
      <c r="AE22" s="48">
        <f>'Revenue - B-to-C'!AF6</f>
        <v>34666.666666666664</v>
      </c>
      <c r="AF22" s="48">
        <f>'Revenue - B-to-C'!AG6</f>
        <v>34666.666666666664</v>
      </c>
      <c r="AG22" s="48">
        <f>'Revenue - B-to-C'!AH6</f>
        <v>34666.666666666664</v>
      </c>
      <c r="AH22" s="48">
        <f>'Revenue - B-to-C'!AI6</f>
        <v>34666.666666666664</v>
      </c>
      <c r="AI22" s="48">
        <f>'Revenue - B-to-C'!AJ6</f>
        <v>34666.666666666664</v>
      </c>
      <c r="AJ22" s="48">
        <f>'Revenue - B-to-C'!AK6</f>
        <v>34666.666666666664</v>
      </c>
      <c r="AK22" s="48">
        <f>'Revenue - B-to-C'!AL6</f>
        <v>34666.666666666664</v>
      </c>
      <c r="AL22" s="48">
        <f>'Revenue - B-to-C'!AM6</f>
        <v>34666.666666666664</v>
      </c>
      <c r="AM22" s="48">
        <f>'Revenue - B-to-C'!AN6</f>
        <v>34666.666666666664</v>
      </c>
      <c r="AN22" s="48">
        <f>'Revenue - B-to-C'!AO6</f>
        <v>34666.666666666664</v>
      </c>
      <c r="AO22" s="48">
        <f>'Revenue - B-to-C'!AP6</f>
        <v>34666.666666666664</v>
      </c>
      <c r="AP22" s="15">
        <f>'Revenue - B-to-C'!AQ6</f>
        <v>34666.666666666664</v>
      </c>
    </row>
    <row r="23" spans="1:42" ht="13.5">
      <c r="A23" s="316" t="s">
        <v>264</v>
      </c>
      <c r="B23" s="49">
        <f>'Revenue - B-to-C'!C8</f>
        <v>165000</v>
      </c>
      <c r="C23" s="49">
        <f>'Revenue - B-to-C'!D8</f>
        <v>275000</v>
      </c>
      <c r="D23" s="49">
        <f>'Revenue - B-to-C'!E8</f>
        <v>330000</v>
      </c>
      <c r="E23" s="310" t="str">
        <f>'Revenue - B-to-C'!F8</f>
        <v>year 1 launch</v>
      </c>
      <c r="F23" s="285"/>
      <c r="G23" s="48">
        <f>'Revenue - B-to-C'!H8</f>
        <v>0</v>
      </c>
      <c r="H23" s="48">
        <f>'Revenue - B-to-C'!I8</f>
        <v>0</v>
      </c>
      <c r="I23" s="48">
        <f>'Revenue - B-to-C'!J8</f>
        <v>0</v>
      </c>
      <c r="J23" s="48">
        <f>'Revenue - B-to-C'!K8</f>
        <v>18333.333333333332</v>
      </c>
      <c r="K23" s="48">
        <f>'Revenue - B-to-C'!L8</f>
        <v>18333.333333333332</v>
      </c>
      <c r="L23" s="48">
        <f>'Revenue - B-to-C'!M8</f>
        <v>18333.333333333332</v>
      </c>
      <c r="M23" s="48">
        <f>'Revenue - B-to-C'!N8</f>
        <v>18333.333333333332</v>
      </c>
      <c r="N23" s="48">
        <f>'Revenue - B-to-C'!O8</f>
        <v>18333.333333333332</v>
      </c>
      <c r="O23" s="48">
        <f>'Revenue - B-to-C'!P8</f>
        <v>18333.333333333332</v>
      </c>
      <c r="P23" s="48">
        <f>'Revenue - B-to-C'!Q8</f>
        <v>18333.333333333332</v>
      </c>
      <c r="Q23" s="48">
        <f>'Revenue - B-to-C'!R8</f>
        <v>18333.333333333332</v>
      </c>
      <c r="R23" s="48">
        <f>'Revenue - B-to-C'!S8</f>
        <v>18333.333333333332</v>
      </c>
      <c r="S23" s="48">
        <f>'Revenue - B-to-C'!T8</f>
        <v>22916.666666666668</v>
      </c>
      <c r="T23" s="48">
        <f>'Revenue - B-to-C'!U8</f>
        <v>22916.666666666668</v>
      </c>
      <c r="U23" s="48">
        <f>'Revenue - B-to-C'!V8</f>
        <v>22916.666666666668</v>
      </c>
      <c r="V23" s="48">
        <f>'Revenue - B-to-C'!W8</f>
        <v>22916.666666666668</v>
      </c>
      <c r="W23" s="48">
        <f>'Revenue - B-to-C'!X8</f>
        <v>22916.666666666668</v>
      </c>
      <c r="X23" s="48">
        <f>'Revenue - B-to-C'!Y8</f>
        <v>22916.666666666668</v>
      </c>
      <c r="Y23" s="48">
        <f>'Revenue - B-to-C'!Z8</f>
        <v>22916.666666666668</v>
      </c>
      <c r="Z23" s="48">
        <f>'Revenue - B-to-C'!AA8</f>
        <v>22916.666666666668</v>
      </c>
      <c r="AA23" s="48">
        <f>'Revenue - B-to-C'!AB8</f>
        <v>22916.666666666668</v>
      </c>
      <c r="AB23" s="48">
        <f>'Revenue - B-to-C'!AC8</f>
        <v>22916.666666666668</v>
      </c>
      <c r="AC23" s="48">
        <f>'Revenue - B-to-C'!AD8</f>
        <v>22916.666666666668</v>
      </c>
      <c r="AD23" s="48">
        <f>'Revenue - B-to-C'!AE8</f>
        <v>22916.666666666668</v>
      </c>
      <c r="AE23" s="48">
        <f>'Revenue - B-to-C'!AF8</f>
        <v>27500</v>
      </c>
      <c r="AF23" s="48">
        <f>'Revenue - B-to-C'!AG8</f>
        <v>27500</v>
      </c>
      <c r="AG23" s="48">
        <f>'Revenue - B-to-C'!AH8</f>
        <v>27500</v>
      </c>
      <c r="AH23" s="48">
        <f>'Revenue - B-to-C'!AI8</f>
        <v>27500</v>
      </c>
      <c r="AI23" s="48">
        <f>'Revenue - B-to-C'!AJ8</f>
        <v>27500</v>
      </c>
      <c r="AJ23" s="48">
        <f>'Revenue - B-to-C'!AK8</f>
        <v>27500</v>
      </c>
      <c r="AK23" s="48">
        <f>'Revenue - B-to-C'!AL8</f>
        <v>27500</v>
      </c>
      <c r="AL23" s="48">
        <f>'Revenue - B-to-C'!AM8</f>
        <v>27500</v>
      </c>
      <c r="AM23" s="48">
        <f>'Revenue - B-to-C'!AN8</f>
        <v>27500</v>
      </c>
      <c r="AN23" s="48">
        <f>'Revenue - B-to-C'!AO8</f>
        <v>27500</v>
      </c>
      <c r="AO23" s="48">
        <f>'Revenue - B-to-C'!AP8</f>
        <v>27500</v>
      </c>
      <c r="AP23" s="15">
        <f>'Revenue - B-to-C'!AQ8</f>
        <v>27500</v>
      </c>
    </row>
    <row r="24" spans="1:42" ht="13.5">
      <c r="A24" s="316" t="s">
        <v>390</v>
      </c>
      <c r="B24" s="49">
        <f>'Revenue - B-to-C'!C10</f>
        <v>75000</v>
      </c>
      <c r="C24" s="49">
        <f>'Revenue - B-to-C'!D10</f>
        <v>75000</v>
      </c>
      <c r="D24" s="49">
        <f>'Revenue - B-to-C'!E10</f>
        <v>75000</v>
      </c>
      <c r="E24" s="310" t="str">
        <f>'Revenue - B-to-C'!F10</f>
        <v>year 1 launch</v>
      </c>
      <c r="F24" s="285"/>
      <c r="G24" s="48">
        <f>'Revenue - B-to-C'!H10</f>
        <v>0</v>
      </c>
      <c r="H24" s="48">
        <f>'Revenue - B-to-C'!I10</f>
        <v>0</v>
      </c>
      <c r="I24" s="48">
        <f>'Revenue - B-to-C'!J10</f>
        <v>0</v>
      </c>
      <c r="J24" s="48">
        <f>'Revenue - B-to-C'!K10</f>
        <v>6250</v>
      </c>
      <c r="K24" s="48">
        <f>'Revenue - B-to-C'!L10</f>
        <v>6250</v>
      </c>
      <c r="L24" s="48">
        <f>'Revenue - B-to-C'!M10</f>
        <v>6250</v>
      </c>
      <c r="M24" s="48">
        <f>'Revenue - B-to-C'!N10</f>
        <v>6250</v>
      </c>
      <c r="N24" s="48">
        <f>'Revenue - B-to-C'!O10</f>
        <v>6250</v>
      </c>
      <c r="O24" s="48">
        <f>'Revenue - B-to-C'!P10</f>
        <v>6250</v>
      </c>
      <c r="P24" s="48">
        <f>'Revenue - B-to-C'!Q10</f>
        <v>6250</v>
      </c>
      <c r="Q24" s="48">
        <f>'Revenue - B-to-C'!R10</f>
        <v>6250</v>
      </c>
      <c r="R24" s="48">
        <f>'Revenue - B-to-C'!S10</f>
        <v>6250</v>
      </c>
      <c r="S24" s="48">
        <f>'Revenue - B-to-C'!T10</f>
        <v>6250</v>
      </c>
      <c r="T24" s="48">
        <f>'Revenue - B-to-C'!U10</f>
        <v>6250</v>
      </c>
      <c r="U24" s="48">
        <f>'Revenue - B-to-C'!V10</f>
        <v>6250</v>
      </c>
      <c r="V24" s="48">
        <f>'Revenue - B-to-C'!W10</f>
        <v>6250</v>
      </c>
      <c r="W24" s="48">
        <f>'Revenue - B-to-C'!X10</f>
        <v>6250</v>
      </c>
      <c r="X24" s="48">
        <f>'Revenue - B-to-C'!Y10</f>
        <v>6250</v>
      </c>
      <c r="Y24" s="48">
        <f>'Revenue - B-to-C'!Z10</f>
        <v>6250</v>
      </c>
      <c r="Z24" s="48">
        <f>'Revenue - B-to-C'!AA10</f>
        <v>6250</v>
      </c>
      <c r="AA24" s="48">
        <f>'Revenue - B-to-C'!AB10</f>
        <v>6250</v>
      </c>
      <c r="AB24" s="48">
        <f>'Revenue - B-to-C'!AC10</f>
        <v>6250</v>
      </c>
      <c r="AC24" s="48">
        <f>'Revenue - B-to-C'!AD10</f>
        <v>6250</v>
      </c>
      <c r="AD24" s="48">
        <f>'Revenue - B-to-C'!AE10</f>
        <v>6250</v>
      </c>
      <c r="AE24" s="48">
        <f>'Revenue - B-to-C'!AF10</f>
        <v>6250</v>
      </c>
      <c r="AF24" s="48">
        <f>'Revenue - B-to-C'!AG10</f>
        <v>6250</v>
      </c>
      <c r="AG24" s="48">
        <f>'Revenue - B-to-C'!AH10</f>
        <v>6250</v>
      </c>
      <c r="AH24" s="48">
        <f>'Revenue - B-to-C'!AI10</f>
        <v>6250</v>
      </c>
      <c r="AI24" s="48">
        <f>'Revenue - B-to-C'!AJ10</f>
        <v>6250</v>
      </c>
      <c r="AJ24" s="48">
        <f>'Revenue - B-to-C'!AK10</f>
        <v>6250</v>
      </c>
      <c r="AK24" s="48">
        <f>'Revenue - B-to-C'!AL10</f>
        <v>6250</v>
      </c>
      <c r="AL24" s="48">
        <f>'Revenue - B-to-C'!AM10</f>
        <v>6250</v>
      </c>
      <c r="AM24" s="48">
        <f>'Revenue - B-to-C'!AN10</f>
        <v>6250</v>
      </c>
      <c r="AN24" s="48">
        <f>'Revenue - B-to-C'!AO10</f>
        <v>6250</v>
      </c>
      <c r="AO24" s="48">
        <f>'Revenue - B-to-C'!AP10</f>
        <v>6250</v>
      </c>
      <c r="AP24" s="15">
        <f>'Revenue - B-to-C'!AQ10</f>
        <v>6250</v>
      </c>
    </row>
    <row r="25" spans="1:42" ht="13.5">
      <c r="A25" s="316" t="s">
        <v>391</v>
      </c>
      <c r="B25" s="49">
        <f>'Revenue - B-to-C'!C12</f>
        <v>25200</v>
      </c>
      <c r="C25" s="49">
        <f>'Revenue - B-to-C'!D12</f>
        <v>29400</v>
      </c>
      <c r="D25" s="49">
        <f>'Revenue - B-to-C'!E12</f>
        <v>36400</v>
      </c>
      <c r="E25" s="310" t="str">
        <f>'Revenue - B-to-C'!F12</f>
        <v>year 1 launch</v>
      </c>
      <c r="F25" s="285"/>
      <c r="G25" s="48">
        <f>'Revenue - B-to-C'!H12</f>
        <v>0</v>
      </c>
      <c r="H25" s="48">
        <f>'Revenue - B-to-C'!I12</f>
        <v>0</v>
      </c>
      <c r="I25" s="48">
        <f>'Revenue - B-to-C'!J12</f>
        <v>0</v>
      </c>
      <c r="J25" s="48">
        <f>'Revenue - B-to-C'!K12</f>
        <v>2100</v>
      </c>
      <c r="K25" s="48">
        <f>'Revenue - B-to-C'!L12</f>
        <v>2100</v>
      </c>
      <c r="L25" s="48">
        <f>'Revenue - B-to-C'!M12</f>
        <v>2100</v>
      </c>
      <c r="M25" s="48">
        <f>'Revenue - B-to-C'!N12</f>
        <v>2100</v>
      </c>
      <c r="N25" s="48">
        <f>'Revenue - B-to-C'!O12</f>
        <v>2100</v>
      </c>
      <c r="O25" s="48">
        <f>'Revenue - B-to-C'!P12</f>
        <v>2100</v>
      </c>
      <c r="P25" s="48">
        <f>'Revenue - B-to-C'!Q12</f>
        <v>2100</v>
      </c>
      <c r="Q25" s="48">
        <f>'Revenue - B-to-C'!R12</f>
        <v>2100</v>
      </c>
      <c r="R25" s="48">
        <f>'Revenue - B-to-C'!S12</f>
        <v>2100</v>
      </c>
      <c r="S25" s="48">
        <f>'Revenue - B-to-C'!T12</f>
        <v>2450</v>
      </c>
      <c r="T25" s="48">
        <f>'Revenue - B-to-C'!U12</f>
        <v>2450</v>
      </c>
      <c r="U25" s="48">
        <f>'Revenue - B-to-C'!V12</f>
        <v>2450</v>
      </c>
      <c r="V25" s="48">
        <f>'Revenue - B-to-C'!W12</f>
        <v>2450</v>
      </c>
      <c r="W25" s="48">
        <f>'Revenue - B-to-C'!X12</f>
        <v>2450</v>
      </c>
      <c r="X25" s="48">
        <f>'Revenue - B-to-C'!Y12</f>
        <v>2450</v>
      </c>
      <c r="Y25" s="48">
        <f>'Revenue - B-to-C'!Z12</f>
        <v>2450</v>
      </c>
      <c r="Z25" s="48">
        <f>'Revenue - B-to-C'!AA12</f>
        <v>2450</v>
      </c>
      <c r="AA25" s="48">
        <f>'Revenue - B-to-C'!AB12</f>
        <v>2450</v>
      </c>
      <c r="AB25" s="48">
        <f>'Revenue - B-to-C'!AC12</f>
        <v>2450</v>
      </c>
      <c r="AC25" s="48">
        <f>'Revenue - B-to-C'!AD12</f>
        <v>2450</v>
      </c>
      <c r="AD25" s="48">
        <f>'Revenue - B-to-C'!AE12</f>
        <v>2450</v>
      </c>
      <c r="AE25" s="48">
        <f>'Revenue - B-to-C'!AF12</f>
        <v>3033.3333333333335</v>
      </c>
      <c r="AF25" s="48">
        <f>'Revenue - B-to-C'!AG12</f>
        <v>3033.3333333333335</v>
      </c>
      <c r="AG25" s="48">
        <f>'Revenue - B-to-C'!AH12</f>
        <v>3033.3333333333335</v>
      </c>
      <c r="AH25" s="48">
        <f>'Revenue - B-to-C'!AI12</f>
        <v>3033.3333333333335</v>
      </c>
      <c r="AI25" s="48">
        <f>'Revenue - B-to-C'!AJ12</f>
        <v>3033.3333333333335</v>
      </c>
      <c r="AJ25" s="48">
        <f>'Revenue - B-to-C'!AK12</f>
        <v>3033.3333333333335</v>
      </c>
      <c r="AK25" s="48">
        <f>'Revenue - B-to-C'!AL12</f>
        <v>3033.3333333333335</v>
      </c>
      <c r="AL25" s="48">
        <f>'Revenue - B-to-C'!AM12</f>
        <v>3033.3333333333335</v>
      </c>
      <c r="AM25" s="48">
        <f>'Revenue - B-to-C'!AN12</f>
        <v>3033.3333333333335</v>
      </c>
      <c r="AN25" s="48">
        <f>'Revenue - B-to-C'!AO12</f>
        <v>3033.3333333333335</v>
      </c>
      <c r="AO25" s="48">
        <f>'Revenue - B-to-C'!AP12</f>
        <v>3033.3333333333335</v>
      </c>
      <c r="AP25" s="15">
        <f>'Revenue - B-to-C'!AQ12</f>
        <v>3033.3333333333335</v>
      </c>
    </row>
    <row r="26" spans="1:42" ht="13.5">
      <c r="A26" s="317" t="s">
        <v>392</v>
      </c>
      <c r="B26" s="49">
        <f>'Revenue - B-to-C'!C14</f>
        <v>6000</v>
      </c>
      <c r="C26" s="49">
        <f>'Revenue - B-to-C'!D14</f>
        <v>28200</v>
      </c>
      <c r="D26" s="49">
        <f>'Revenue - B-to-C'!E14</f>
        <v>105000</v>
      </c>
      <c r="E26" s="310" t="str">
        <f>'Revenue - B-to-C'!F14</f>
        <v>year 1 launch</v>
      </c>
      <c r="F26" s="285"/>
      <c r="G26" s="48">
        <f>'Revenue - B-to-C'!H14</f>
        <v>0</v>
      </c>
      <c r="H26" s="48">
        <f>'Revenue - B-to-C'!I14</f>
        <v>0</v>
      </c>
      <c r="I26" s="48">
        <f>'Revenue - B-to-C'!J14</f>
        <v>0</v>
      </c>
      <c r="J26" s="48">
        <f>'Revenue - B-to-C'!K14</f>
        <v>500</v>
      </c>
      <c r="K26" s="48">
        <f>'Revenue - B-to-C'!L14</f>
        <v>500</v>
      </c>
      <c r="L26" s="48">
        <f>'Revenue - B-to-C'!M14</f>
        <v>500</v>
      </c>
      <c r="M26" s="48">
        <f>'Revenue - B-to-C'!N14</f>
        <v>500</v>
      </c>
      <c r="N26" s="48">
        <f>'Revenue - B-to-C'!O14</f>
        <v>500</v>
      </c>
      <c r="O26" s="48">
        <f>'Revenue - B-to-C'!P14</f>
        <v>500</v>
      </c>
      <c r="P26" s="48">
        <f>'Revenue - B-to-C'!Q14</f>
        <v>500</v>
      </c>
      <c r="Q26" s="48">
        <f>'Revenue - B-to-C'!R14</f>
        <v>500</v>
      </c>
      <c r="R26" s="48">
        <f>'Revenue - B-to-C'!S14</f>
        <v>2350</v>
      </c>
      <c r="S26" s="48">
        <f>'Revenue - B-to-C'!T14</f>
        <v>2350</v>
      </c>
      <c r="T26" s="48">
        <f>'Revenue - B-to-C'!U14</f>
        <v>2350</v>
      </c>
      <c r="U26" s="48">
        <f>'Revenue - B-to-C'!V14</f>
        <v>2350</v>
      </c>
      <c r="V26" s="48">
        <f>'Revenue - B-to-C'!W14</f>
        <v>2350</v>
      </c>
      <c r="W26" s="48">
        <f>'Revenue - B-to-C'!X14</f>
        <v>2350</v>
      </c>
      <c r="X26" s="48">
        <f>'Revenue - B-to-C'!Y14</f>
        <v>2350</v>
      </c>
      <c r="Y26" s="48">
        <f>'Revenue - B-to-C'!Z14</f>
        <v>2350</v>
      </c>
      <c r="Z26" s="48">
        <f>'Revenue - B-to-C'!AA14</f>
        <v>2350</v>
      </c>
      <c r="AA26" s="48">
        <f>'Revenue - B-to-C'!AB14</f>
        <v>2350</v>
      </c>
      <c r="AB26" s="48">
        <f>'Revenue - B-to-C'!AC14</f>
        <v>2350</v>
      </c>
      <c r="AC26" s="48">
        <f>'Revenue - B-to-C'!AD14</f>
        <v>2350</v>
      </c>
      <c r="AD26" s="48">
        <f>'Revenue - B-to-C'!AE14</f>
        <v>2350</v>
      </c>
      <c r="AE26" s="48">
        <f>'Revenue - B-to-C'!AF14</f>
        <v>8750</v>
      </c>
      <c r="AF26" s="48">
        <f>'Revenue - B-to-C'!AG14</f>
        <v>8750</v>
      </c>
      <c r="AG26" s="48">
        <f>'Revenue - B-to-C'!AH14</f>
        <v>8750</v>
      </c>
      <c r="AH26" s="48">
        <f>'Revenue - B-to-C'!AI14</f>
        <v>8750</v>
      </c>
      <c r="AI26" s="48">
        <f>'Revenue - B-to-C'!AJ14</f>
        <v>8750</v>
      </c>
      <c r="AJ26" s="48">
        <f>'Revenue - B-to-C'!AK14</f>
        <v>8750</v>
      </c>
      <c r="AK26" s="48">
        <f>'Revenue - B-to-C'!AL14</f>
        <v>8750</v>
      </c>
      <c r="AL26" s="48">
        <f>'Revenue - B-to-C'!AM14</f>
        <v>8750</v>
      </c>
      <c r="AM26" s="48">
        <f>'Revenue - B-to-C'!AN14</f>
        <v>8750</v>
      </c>
      <c r="AN26" s="48">
        <f>'Revenue - B-to-C'!AO14</f>
        <v>8750</v>
      </c>
      <c r="AO26" s="48">
        <f>'Revenue - B-to-C'!AP14</f>
        <v>8750</v>
      </c>
      <c r="AP26" s="15">
        <f>'Revenue - B-to-C'!AQ14</f>
        <v>8750</v>
      </c>
    </row>
    <row r="27" spans="1:42" ht="13.5">
      <c r="A27" s="316" t="s">
        <v>393</v>
      </c>
      <c r="B27" s="49">
        <f>'Revenue - B-to-C'!C16</f>
        <v>0</v>
      </c>
      <c r="C27" s="49">
        <f>'Revenue - B-to-C'!D16</f>
        <v>171080</v>
      </c>
      <c r="D27" s="49">
        <f>'Revenue - B-to-C'!E16</f>
        <v>380800</v>
      </c>
      <c r="E27" s="310" t="str">
        <f>'Revenue - B-to-C'!F16</f>
        <v>year 2 launch</v>
      </c>
      <c r="F27" s="285"/>
      <c r="G27" s="48">
        <f>'Revenue - B-to-C'!H16</f>
        <v>0</v>
      </c>
      <c r="H27" s="48">
        <f>'Revenue - B-to-C'!I16</f>
        <v>0</v>
      </c>
      <c r="I27" s="48">
        <f>'Revenue - B-to-C'!J16</f>
        <v>0</v>
      </c>
      <c r="J27" s="48">
        <f>'Revenue - B-to-C'!K16</f>
        <v>0</v>
      </c>
      <c r="K27" s="48">
        <f>'Revenue - B-to-C'!L16</f>
        <v>0</v>
      </c>
      <c r="L27" s="48">
        <f>'Revenue - B-to-C'!M16</f>
        <v>0</v>
      </c>
      <c r="M27" s="48">
        <f>'Revenue - B-to-C'!N16</f>
        <v>0</v>
      </c>
      <c r="N27" s="48">
        <f>'Revenue - B-to-C'!O16</f>
        <v>0</v>
      </c>
      <c r="O27" s="48">
        <f>'Revenue - B-to-C'!P16</f>
        <v>0</v>
      </c>
      <c r="P27" s="48">
        <f>'Revenue - B-to-C'!Q16</f>
        <v>0</v>
      </c>
      <c r="Q27" s="48">
        <f>'Revenue - B-to-C'!R16</f>
        <v>0</v>
      </c>
      <c r="R27" s="48">
        <f>'Revenue - B-to-C'!S16</f>
        <v>0</v>
      </c>
      <c r="S27" s="48">
        <f>'Revenue - B-to-C'!T16</f>
        <v>14256.666666666666</v>
      </c>
      <c r="T27" s="48">
        <f>'Revenue - B-to-C'!U16</f>
        <v>14256.666666666666</v>
      </c>
      <c r="U27" s="48">
        <f>'Revenue - B-to-C'!V16</f>
        <v>14256.666666666666</v>
      </c>
      <c r="V27" s="48">
        <f>'Revenue - B-to-C'!W16</f>
        <v>14256.666666666666</v>
      </c>
      <c r="W27" s="48">
        <f>'Revenue - B-to-C'!X16</f>
        <v>14256.666666666666</v>
      </c>
      <c r="X27" s="48">
        <f>'Revenue - B-to-C'!Y16</f>
        <v>14256.666666666666</v>
      </c>
      <c r="Y27" s="48">
        <f>'Revenue - B-to-C'!Z16</f>
        <v>14256.666666666666</v>
      </c>
      <c r="Z27" s="48">
        <f>'Revenue - B-to-C'!AA16</f>
        <v>14256.666666666666</v>
      </c>
      <c r="AA27" s="48">
        <f>'Revenue - B-to-C'!AB16</f>
        <v>14256.666666666666</v>
      </c>
      <c r="AB27" s="48">
        <f>'Revenue - B-to-C'!AC16</f>
        <v>14256.666666666666</v>
      </c>
      <c r="AC27" s="48">
        <f>'Revenue - B-to-C'!AD16</f>
        <v>14256.666666666666</v>
      </c>
      <c r="AD27" s="48">
        <f>'Revenue - B-to-C'!AE16</f>
        <v>14256.666666666666</v>
      </c>
      <c r="AE27" s="48">
        <f>'Revenue - B-to-C'!AF16</f>
        <v>31733.333333333332</v>
      </c>
      <c r="AF27" s="48">
        <f>'Revenue - B-to-C'!AG16</f>
        <v>31733.333333333332</v>
      </c>
      <c r="AG27" s="48">
        <f>'Revenue - B-to-C'!AH16</f>
        <v>31733.333333333332</v>
      </c>
      <c r="AH27" s="48">
        <f>'Revenue - B-to-C'!AI16</f>
        <v>31733.333333333332</v>
      </c>
      <c r="AI27" s="48">
        <f>'Revenue - B-to-C'!AJ16</f>
        <v>31733.333333333332</v>
      </c>
      <c r="AJ27" s="48">
        <f>'Revenue - B-to-C'!AK16</f>
        <v>31733.333333333332</v>
      </c>
      <c r="AK27" s="48">
        <f>'Revenue - B-to-C'!AL16</f>
        <v>31733.333333333332</v>
      </c>
      <c r="AL27" s="48">
        <f>'Revenue - B-to-C'!AM16</f>
        <v>31733.333333333332</v>
      </c>
      <c r="AM27" s="48">
        <f>'Revenue - B-to-C'!AN16</f>
        <v>31733.333333333332</v>
      </c>
      <c r="AN27" s="48">
        <f>'Revenue - B-to-C'!AO16</f>
        <v>31733.333333333332</v>
      </c>
      <c r="AO27" s="48">
        <f>'Revenue - B-to-C'!AP16</f>
        <v>31733.333333333332</v>
      </c>
      <c r="AP27" s="15">
        <f>'Revenue - B-to-C'!AQ16</f>
        <v>31733.333333333332</v>
      </c>
    </row>
    <row r="28" spans="1:42" ht="13.5">
      <c r="A28" s="316" t="s">
        <v>394</v>
      </c>
      <c r="B28" s="49">
        <f>'Revenue - B-to-C'!C18</f>
        <v>0</v>
      </c>
      <c r="C28" s="49">
        <f>'Revenue - B-to-C'!D18</f>
        <v>33833.333333333336</v>
      </c>
      <c r="D28" s="49">
        <f>'Revenue - B-to-C'!E18</f>
        <v>35525</v>
      </c>
      <c r="E28" s="310" t="str">
        <f>'Revenue - B-to-C'!F18</f>
        <v>year 2 launch</v>
      </c>
      <c r="F28" s="285"/>
      <c r="G28" s="48">
        <f>'Revenue - B-to-C'!H18</f>
        <v>0</v>
      </c>
      <c r="H28" s="48">
        <f>'Revenue - B-to-C'!I18</f>
        <v>0</v>
      </c>
      <c r="I28" s="48">
        <f>'Revenue - B-to-C'!J18</f>
        <v>0</v>
      </c>
      <c r="J28" s="48">
        <f>'Revenue - B-to-C'!K18</f>
        <v>0</v>
      </c>
      <c r="K28" s="48">
        <f>'Revenue - B-to-C'!L18</f>
        <v>0</v>
      </c>
      <c r="L28" s="48">
        <f>'Revenue - B-to-C'!M18</f>
        <v>0</v>
      </c>
      <c r="M28" s="48">
        <f>'Revenue - B-to-C'!N18</f>
        <v>0</v>
      </c>
      <c r="N28" s="48">
        <f>'Revenue - B-to-C'!O18</f>
        <v>0</v>
      </c>
      <c r="O28" s="48">
        <f>'Revenue - B-to-C'!P18</f>
        <v>0</v>
      </c>
      <c r="P28" s="48">
        <f>'Revenue - B-to-C'!Q18</f>
        <v>0</v>
      </c>
      <c r="Q28" s="48">
        <f>'Revenue - B-to-C'!R18</f>
        <v>0</v>
      </c>
      <c r="R28" s="48">
        <f>'Revenue - B-to-C'!S18</f>
        <v>0</v>
      </c>
      <c r="S28" s="48">
        <f>'Revenue - B-to-C'!T18</f>
        <v>2819.444444444445</v>
      </c>
      <c r="T28" s="48">
        <f>'Revenue - B-to-C'!U18</f>
        <v>2819.444444444445</v>
      </c>
      <c r="U28" s="48">
        <f>'Revenue - B-to-C'!V18</f>
        <v>2819.444444444445</v>
      </c>
      <c r="V28" s="48">
        <f>'Revenue - B-to-C'!W18</f>
        <v>2819.444444444445</v>
      </c>
      <c r="W28" s="48">
        <f>'Revenue - B-to-C'!X18</f>
        <v>2819.444444444445</v>
      </c>
      <c r="X28" s="48">
        <f>'Revenue - B-to-C'!Y18</f>
        <v>2819.444444444445</v>
      </c>
      <c r="Y28" s="48">
        <f>'Revenue - B-to-C'!Z18</f>
        <v>2819.444444444445</v>
      </c>
      <c r="Z28" s="48">
        <f>'Revenue - B-to-C'!AA18</f>
        <v>2819.444444444445</v>
      </c>
      <c r="AA28" s="48">
        <f>'Revenue - B-to-C'!AB18</f>
        <v>2819.444444444445</v>
      </c>
      <c r="AB28" s="48">
        <f>'Revenue - B-to-C'!AC18</f>
        <v>2819.444444444445</v>
      </c>
      <c r="AC28" s="48">
        <f>'Revenue - B-to-C'!AD18</f>
        <v>2819.444444444445</v>
      </c>
      <c r="AD28" s="48">
        <f>'Revenue - B-to-C'!AE18</f>
        <v>2819.444444444445</v>
      </c>
      <c r="AE28" s="48">
        <f>'Revenue - B-to-C'!AF18</f>
        <v>2960.4166666666665</v>
      </c>
      <c r="AF28" s="48">
        <f>'Revenue - B-to-C'!AG18</f>
        <v>2960.4166666666665</v>
      </c>
      <c r="AG28" s="48">
        <f>'Revenue - B-to-C'!AH18</f>
        <v>2960.4166666666665</v>
      </c>
      <c r="AH28" s="48">
        <f>'Revenue - B-to-C'!AI18</f>
        <v>2960.4166666666665</v>
      </c>
      <c r="AI28" s="48">
        <f>'Revenue - B-to-C'!AJ18</f>
        <v>2960.4166666666665</v>
      </c>
      <c r="AJ28" s="48">
        <f>'Revenue - B-to-C'!AK18</f>
        <v>2960.4166666666665</v>
      </c>
      <c r="AK28" s="48">
        <f>'Revenue - B-to-C'!AL18</f>
        <v>2960.4166666666665</v>
      </c>
      <c r="AL28" s="48">
        <f>'Revenue - B-to-C'!AM18</f>
        <v>2960.4166666666665</v>
      </c>
      <c r="AM28" s="48">
        <f>'Revenue - B-to-C'!AN18</f>
        <v>2960.4166666666665</v>
      </c>
      <c r="AN28" s="48">
        <f>'Revenue - B-to-C'!AO18</f>
        <v>2960.4166666666665</v>
      </c>
      <c r="AO28" s="48">
        <f>'Revenue - B-to-C'!AP18</f>
        <v>2960.4166666666665</v>
      </c>
      <c r="AP28" s="15">
        <f>'Revenue - B-to-C'!AQ18</f>
        <v>2960.4166666666665</v>
      </c>
    </row>
    <row r="29" spans="1:42" ht="13.5">
      <c r="A29" s="316" t="s">
        <v>509</v>
      </c>
      <c r="B29" s="49">
        <f>'Revenue - B-to-C'!C20</f>
        <v>0</v>
      </c>
      <c r="C29" s="49">
        <f>'Revenue - B-to-C'!D20</f>
        <v>843531</v>
      </c>
      <c r="D29" s="49">
        <f>'Revenue - B-to-C'!E20</f>
        <v>3560479.2375</v>
      </c>
      <c r="E29" s="310" t="str">
        <f>'Revenue - B-to-C'!F20</f>
        <v>year 2 launch</v>
      </c>
      <c r="F29" s="285"/>
      <c r="G29" s="48">
        <f>'Revenue - B-to-C'!H20</f>
        <v>0</v>
      </c>
      <c r="H29" s="48">
        <f>'Revenue - B-to-C'!I20</f>
        <v>0</v>
      </c>
      <c r="I29" s="48">
        <f>'Revenue - B-to-C'!J20</f>
        <v>0</v>
      </c>
      <c r="J29" s="48">
        <f>'Revenue - B-to-C'!K20</f>
        <v>0</v>
      </c>
      <c r="K29" s="48">
        <f>'Revenue - B-to-C'!L20</f>
        <v>0</v>
      </c>
      <c r="L29" s="48">
        <f>'Revenue - B-to-C'!M20</f>
        <v>0</v>
      </c>
      <c r="M29" s="48">
        <f>'Revenue - B-to-C'!N20</f>
        <v>0</v>
      </c>
      <c r="N29" s="48">
        <f>'Revenue - B-to-C'!O20</f>
        <v>0</v>
      </c>
      <c r="O29" s="48">
        <f>'Revenue - B-to-C'!P20</f>
        <v>0</v>
      </c>
      <c r="P29" s="48">
        <f>'Revenue - B-to-C'!Q20</f>
        <v>0</v>
      </c>
      <c r="Q29" s="48">
        <f>'Revenue - B-to-C'!R20</f>
        <v>0</v>
      </c>
      <c r="R29" s="48">
        <f>'Revenue - B-to-C'!S20</f>
        <v>0</v>
      </c>
      <c r="S29" s="48">
        <f>'Revenue - B-to-C'!T20</f>
        <v>70294.25</v>
      </c>
      <c r="T29" s="48">
        <f>'Revenue - B-to-C'!U20</f>
        <v>70294.25</v>
      </c>
      <c r="U29" s="48">
        <f>'Revenue - B-to-C'!V20</f>
        <v>70294.25</v>
      </c>
      <c r="V29" s="48">
        <f>'Revenue - B-to-C'!W20</f>
        <v>70294.25</v>
      </c>
      <c r="W29" s="48">
        <f>'Revenue - B-to-C'!X20</f>
        <v>70294.25</v>
      </c>
      <c r="X29" s="48">
        <f>'Revenue - B-to-C'!Y20</f>
        <v>70294.25</v>
      </c>
      <c r="Y29" s="48">
        <f>'Revenue - B-to-C'!Z20</f>
        <v>70294.25</v>
      </c>
      <c r="Z29" s="48">
        <f>'Revenue - B-to-C'!AA20</f>
        <v>70294.25</v>
      </c>
      <c r="AA29" s="48">
        <f>'Revenue - B-to-C'!AB20</f>
        <v>70294.25</v>
      </c>
      <c r="AB29" s="48">
        <f>'Revenue - B-to-C'!AC20</f>
        <v>70294.25</v>
      </c>
      <c r="AC29" s="48">
        <f>'Revenue - B-to-C'!AD20</f>
        <v>70294.25</v>
      </c>
      <c r="AD29" s="48">
        <f>'Revenue - B-to-C'!AE20</f>
        <v>70294.25</v>
      </c>
      <c r="AE29" s="48">
        <f>'Revenue - B-to-C'!AF20</f>
        <v>296706.60312499997</v>
      </c>
      <c r="AF29" s="48">
        <f>'Revenue - B-to-C'!AG20</f>
        <v>296706.60312499997</v>
      </c>
      <c r="AG29" s="48">
        <f>'Revenue - B-to-C'!AH20</f>
        <v>296706.60312499997</v>
      </c>
      <c r="AH29" s="48">
        <f>'Revenue - B-to-C'!AI20</f>
        <v>296706.60312499997</v>
      </c>
      <c r="AI29" s="48">
        <f>'Revenue - B-to-C'!AJ20</f>
        <v>296706.60312499997</v>
      </c>
      <c r="AJ29" s="48">
        <f>'Revenue - B-to-C'!AK20</f>
        <v>296706.60312499997</v>
      </c>
      <c r="AK29" s="48">
        <f>'Revenue - B-to-C'!AL20</f>
        <v>296706.60312499997</v>
      </c>
      <c r="AL29" s="48">
        <f>'Revenue - B-to-C'!AM20</f>
        <v>296706.60312499997</v>
      </c>
      <c r="AM29" s="48">
        <f>'Revenue - B-to-C'!AN20</f>
        <v>296706.60312499997</v>
      </c>
      <c r="AN29" s="48">
        <f>'Revenue - B-to-C'!AO20</f>
        <v>296706.60312499997</v>
      </c>
      <c r="AO29" s="48">
        <f>'Revenue - B-to-C'!AP20</f>
        <v>296706.60312499997</v>
      </c>
      <c r="AP29" s="15">
        <f>'Revenue - B-to-C'!AQ20</f>
        <v>296706.60312499997</v>
      </c>
    </row>
    <row r="30" spans="1:42" ht="13.5">
      <c r="A30" s="317" t="s">
        <v>510</v>
      </c>
      <c r="B30" s="49">
        <f>'Revenue - B-to-C'!C22</f>
        <v>0</v>
      </c>
      <c r="C30" s="49">
        <f>'Revenue - B-to-C'!D22</f>
        <v>49750</v>
      </c>
      <c r="D30" s="49">
        <f>'Revenue - B-to-C'!E22</f>
        <v>74625</v>
      </c>
      <c r="E30" s="310" t="str">
        <f>'Revenue - B-to-C'!F22</f>
        <v>year 2 launch</v>
      </c>
      <c r="F30" s="285"/>
      <c r="G30" s="48">
        <f>'Revenue - B-to-C'!H22</f>
        <v>0</v>
      </c>
      <c r="H30" s="48">
        <f>'Revenue - B-to-C'!I22</f>
        <v>0</v>
      </c>
      <c r="I30" s="48">
        <f>'Revenue - B-to-C'!J22</f>
        <v>0</v>
      </c>
      <c r="J30" s="48">
        <f>'Revenue - B-to-C'!K22</f>
        <v>0</v>
      </c>
      <c r="K30" s="48">
        <f>'Revenue - B-to-C'!L22</f>
        <v>0</v>
      </c>
      <c r="L30" s="48">
        <f>'Revenue - B-to-C'!M22</f>
        <v>0</v>
      </c>
      <c r="M30" s="48">
        <f>'Revenue - B-to-C'!N22</f>
        <v>0</v>
      </c>
      <c r="N30" s="48">
        <f>'Revenue - B-to-C'!O22</f>
        <v>0</v>
      </c>
      <c r="O30" s="48">
        <f>'Revenue - B-to-C'!P22</f>
        <v>0</v>
      </c>
      <c r="P30" s="48">
        <f>'Revenue - B-to-C'!Q22</f>
        <v>0</v>
      </c>
      <c r="Q30" s="48">
        <f>'Revenue - B-to-C'!R22</f>
        <v>0</v>
      </c>
      <c r="R30" s="48">
        <f>'Revenue - B-to-C'!S22</f>
        <v>0</v>
      </c>
      <c r="S30" s="48">
        <f>'Revenue - B-to-C'!T22</f>
        <v>4145.833333333333</v>
      </c>
      <c r="T30" s="48">
        <f>'Revenue - B-to-C'!U22</f>
        <v>4145.833333333333</v>
      </c>
      <c r="U30" s="48">
        <f>'Revenue - B-to-C'!V22</f>
        <v>4145.833333333333</v>
      </c>
      <c r="V30" s="48">
        <f>'Revenue - B-to-C'!W22</f>
        <v>4145.833333333333</v>
      </c>
      <c r="W30" s="48">
        <f>'Revenue - B-to-C'!X22</f>
        <v>4145.833333333333</v>
      </c>
      <c r="X30" s="48">
        <f>'Revenue - B-to-C'!Y22</f>
        <v>4145.833333333333</v>
      </c>
      <c r="Y30" s="48">
        <f>'Revenue - B-to-C'!Z22</f>
        <v>4145.833333333333</v>
      </c>
      <c r="Z30" s="48">
        <f>'Revenue - B-to-C'!AA22</f>
        <v>4145.833333333333</v>
      </c>
      <c r="AA30" s="48">
        <f>'Revenue - B-to-C'!AB22</f>
        <v>4145.833333333333</v>
      </c>
      <c r="AB30" s="48">
        <f>'Revenue - B-to-C'!AC22</f>
        <v>4145.833333333333</v>
      </c>
      <c r="AC30" s="48">
        <f>'Revenue - B-to-C'!AD22</f>
        <v>4145.833333333333</v>
      </c>
      <c r="AD30" s="48">
        <f>'Revenue - B-to-C'!AE22</f>
        <v>4145.833333333333</v>
      </c>
      <c r="AE30" s="48">
        <f>'Revenue - B-to-C'!AF22</f>
        <v>6218.75</v>
      </c>
      <c r="AF30" s="48">
        <f>'Revenue - B-to-C'!AG22</f>
        <v>6218.75</v>
      </c>
      <c r="AG30" s="48">
        <f>'Revenue - B-to-C'!AH22</f>
        <v>6218.75</v>
      </c>
      <c r="AH30" s="48">
        <f>'Revenue - B-to-C'!AI22</f>
        <v>6218.75</v>
      </c>
      <c r="AI30" s="48">
        <f>'Revenue - B-to-C'!AJ22</f>
        <v>6218.75</v>
      </c>
      <c r="AJ30" s="48">
        <f>'Revenue - B-to-C'!AK22</f>
        <v>6218.75</v>
      </c>
      <c r="AK30" s="48">
        <f>'Revenue - B-to-C'!AL22</f>
        <v>6218.75</v>
      </c>
      <c r="AL30" s="48">
        <f>'Revenue - B-to-C'!AM22</f>
        <v>6218.75</v>
      </c>
      <c r="AM30" s="48">
        <f>'Revenue - B-to-C'!AN22</f>
        <v>6218.75</v>
      </c>
      <c r="AN30" s="48">
        <f>'Revenue - B-to-C'!AO22</f>
        <v>6218.75</v>
      </c>
      <c r="AO30" s="48">
        <f>'Revenue - B-to-C'!AP22</f>
        <v>6218.75</v>
      </c>
      <c r="AP30" s="15">
        <f>'Revenue - B-to-C'!AQ22</f>
        <v>6218.75</v>
      </c>
    </row>
    <row r="31" spans="1:42" ht="15" thickBot="1">
      <c r="A31" s="316" t="s">
        <v>511</v>
      </c>
      <c r="B31" s="49">
        <f>'Revenue - B-to-C'!C24</f>
        <v>0</v>
      </c>
      <c r="C31" s="49">
        <f>'Revenue - B-to-C'!D24</f>
        <v>0</v>
      </c>
      <c r="D31" s="49">
        <f>'Revenue - B-to-C'!E24</f>
        <v>0</v>
      </c>
      <c r="E31" s="311" t="str">
        <f>'Revenue - B-to-C'!F24</f>
        <v>High cost of data collection</v>
      </c>
      <c r="F31" s="288"/>
      <c r="G31" s="290">
        <f>'Revenue - B-to-C'!H24</f>
        <v>0</v>
      </c>
      <c r="H31" s="290">
        <f>'Revenue - B-to-C'!I24</f>
        <v>0</v>
      </c>
      <c r="I31" s="290">
        <f>'Revenue - B-to-C'!J24</f>
        <v>0</v>
      </c>
      <c r="J31" s="290">
        <f>'Revenue - B-to-C'!K24</f>
        <v>0</v>
      </c>
      <c r="K31" s="290">
        <f>'Revenue - B-to-C'!L24</f>
        <v>0</v>
      </c>
      <c r="L31" s="290">
        <f>'Revenue - B-to-C'!M24</f>
        <v>0</v>
      </c>
      <c r="M31" s="290">
        <f>'Revenue - B-to-C'!N24</f>
        <v>0</v>
      </c>
      <c r="N31" s="290">
        <f>'Revenue - B-to-C'!O24</f>
        <v>0</v>
      </c>
      <c r="O31" s="290">
        <f>'Revenue - B-to-C'!P24</f>
        <v>0</v>
      </c>
      <c r="P31" s="290">
        <f>'Revenue - B-to-C'!Q24</f>
        <v>0</v>
      </c>
      <c r="Q31" s="290">
        <f>'Revenue - B-to-C'!R24</f>
        <v>0</v>
      </c>
      <c r="R31" s="290">
        <f>'Revenue - B-to-C'!S24</f>
        <v>0</v>
      </c>
      <c r="S31" s="290">
        <f>'Revenue - B-to-C'!T24</f>
        <v>0</v>
      </c>
      <c r="T31" s="290">
        <f>'Revenue - B-to-C'!U24</f>
        <v>0</v>
      </c>
      <c r="U31" s="290">
        <f>'Revenue - B-to-C'!V24</f>
        <v>0</v>
      </c>
      <c r="V31" s="290">
        <f>'Revenue - B-to-C'!W24</f>
        <v>0</v>
      </c>
      <c r="W31" s="290">
        <f>'Revenue - B-to-C'!X24</f>
        <v>0</v>
      </c>
      <c r="X31" s="290">
        <f>'Revenue - B-to-C'!Y24</f>
        <v>0</v>
      </c>
      <c r="Y31" s="290">
        <f>'Revenue - B-to-C'!Z24</f>
        <v>0</v>
      </c>
      <c r="Z31" s="290">
        <f>'Revenue - B-to-C'!AA24</f>
        <v>0</v>
      </c>
      <c r="AA31" s="290">
        <f>'Revenue - B-to-C'!AB24</f>
        <v>0</v>
      </c>
      <c r="AB31" s="290">
        <f>'Revenue - B-to-C'!AC24</f>
        <v>0</v>
      </c>
      <c r="AC31" s="290">
        <f>'Revenue - B-to-C'!AD24</f>
        <v>0</v>
      </c>
      <c r="AD31" s="290">
        <f>'Revenue - B-to-C'!AE24</f>
        <v>0</v>
      </c>
      <c r="AE31" s="290">
        <f>'Revenue - B-to-C'!AF24</f>
        <v>0</v>
      </c>
      <c r="AF31" s="290">
        <f>'Revenue - B-to-C'!AG24</f>
        <v>0</v>
      </c>
      <c r="AG31" s="290">
        <f>'Revenue - B-to-C'!AH24</f>
        <v>0</v>
      </c>
      <c r="AH31" s="290">
        <f>'Revenue - B-to-C'!AI24</f>
        <v>0</v>
      </c>
      <c r="AI31" s="290">
        <f>'Revenue - B-to-C'!AJ24</f>
        <v>0</v>
      </c>
      <c r="AJ31" s="290">
        <f>'Revenue - B-to-C'!AK24</f>
        <v>0</v>
      </c>
      <c r="AK31" s="290">
        <f>'Revenue - B-to-C'!AL24</f>
        <v>0</v>
      </c>
      <c r="AL31" s="290">
        <f>'Revenue - B-to-C'!AM24</f>
        <v>0</v>
      </c>
      <c r="AM31" s="290">
        <f>'Revenue - B-to-C'!AN24</f>
        <v>0</v>
      </c>
      <c r="AN31" s="290">
        <f>'Revenue - B-to-C'!AO24</f>
        <v>0</v>
      </c>
      <c r="AO31" s="290">
        <f>'Revenue - B-to-C'!AP24</f>
        <v>0</v>
      </c>
      <c r="AP31" s="291">
        <f>'Revenue - B-to-C'!AQ24</f>
        <v>0</v>
      </c>
    </row>
    <row r="32" spans="1:42" ht="15" thickTop="1">
      <c r="A32" s="302" t="s">
        <v>512</v>
      </c>
      <c r="B32" s="49">
        <f>SUM(B21:B31)</f>
        <v>597760</v>
      </c>
      <c r="C32" s="49">
        <f>SUM(C21:C31)</f>
        <v>1969696.7333333334</v>
      </c>
      <c r="D32" s="49">
        <f>SUM(D21:D31)</f>
        <v>5105557.2375</v>
      </c>
      <c r="E32" s="310"/>
      <c r="F32" s="285"/>
      <c r="G32" s="48">
        <f>SUM(G21:G31)</f>
        <v>0</v>
      </c>
      <c r="H32" s="48">
        <f aca="true" t="shared" si="0" ref="H32:AP32">SUM(H21:H31)</f>
        <v>0</v>
      </c>
      <c r="I32" s="48">
        <f t="shared" si="0"/>
        <v>0</v>
      </c>
      <c r="J32" s="48">
        <f t="shared" si="0"/>
        <v>63063.33333333333</v>
      </c>
      <c r="K32" s="48">
        <f t="shared" si="0"/>
        <v>63063.33333333333</v>
      </c>
      <c r="L32" s="48">
        <f t="shared" si="0"/>
        <v>63063.33333333333</v>
      </c>
      <c r="M32" s="48">
        <f t="shared" si="0"/>
        <v>63063.33333333333</v>
      </c>
      <c r="N32" s="48">
        <f t="shared" si="0"/>
        <v>63063.33333333333</v>
      </c>
      <c r="O32" s="48">
        <f t="shared" si="0"/>
        <v>63063.33333333333</v>
      </c>
      <c r="P32" s="48">
        <f t="shared" si="0"/>
        <v>63063.33333333333</v>
      </c>
      <c r="Q32" s="48">
        <f t="shared" si="0"/>
        <v>63063.33333333333</v>
      </c>
      <c r="R32" s="48">
        <f t="shared" si="0"/>
        <v>64913.33333333333</v>
      </c>
      <c r="S32" s="48">
        <f t="shared" si="0"/>
        <v>164141.39444444445</v>
      </c>
      <c r="T32" s="48">
        <f t="shared" si="0"/>
        <v>164141.39444444445</v>
      </c>
      <c r="U32" s="48">
        <f t="shared" si="0"/>
        <v>164141.39444444445</v>
      </c>
      <c r="V32" s="48">
        <f t="shared" si="0"/>
        <v>164141.39444444445</v>
      </c>
      <c r="W32" s="48">
        <f t="shared" si="0"/>
        <v>164141.39444444445</v>
      </c>
      <c r="X32" s="48">
        <f t="shared" si="0"/>
        <v>164141.39444444445</v>
      </c>
      <c r="Y32" s="48">
        <f t="shared" si="0"/>
        <v>164141.39444444445</v>
      </c>
      <c r="Z32" s="48">
        <f t="shared" si="0"/>
        <v>164141.39444444445</v>
      </c>
      <c r="AA32" s="48">
        <f t="shared" si="0"/>
        <v>164141.39444444445</v>
      </c>
      <c r="AB32" s="48">
        <f t="shared" si="0"/>
        <v>164141.39444444445</v>
      </c>
      <c r="AC32" s="48">
        <f t="shared" si="0"/>
        <v>164141.39444444445</v>
      </c>
      <c r="AD32" s="48">
        <f t="shared" si="0"/>
        <v>164141.39444444445</v>
      </c>
      <c r="AE32" s="48">
        <f t="shared" si="0"/>
        <v>425463.10312499997</v>
      </c>
      <c r="AF32" s="48">
        <f t="shared" si="0"/>
        <v>425463.10312499997</v>
      </c>
      <c r="AG32" s="48">
        <f t="shared" si="0"/>
        <v>425463.10312499997</v>
      </c>
      <c r="AH32" s="48">
        <f t="shared" si="0"/>
        <v>425463.10312499997</v>
      </c>
      <c r="AI32" s="48">
        <f t="shared" si="0"/>
        <v>425463.10312499997</v>
      </c>
      <c r="AJ32" s="48">
        <f t="shared" si="0"/>
        <v>425463.10312499997</v>
      </c>
      <c r="AK32" s="48">
        <f t="shared" si="0"/>
        <v>425463.10312499997</v>
      </c>
      <c r="AL32" s="48">
        <f t="shared" si="0"/>
        <v>425463.10312499997</v>
      </c>
      <c r="AM32" s="48">
        <f t="shared" si="0"/>
        <v>425463.10312499997</v>
      </c>
      <c r="AN32" s="48">
        <f t="shared" si="0"/>
        <v>425463.10312499997</v>
      </c>
      <c r="AO32" s="48">
        <f t="shared" si="0"/>
        <v>425463.10312499997</v>
      </c>
      <c r="AP32" s="15">
        <f t="shared" si="0"/>
        <v>425463.10312499997</v>
      </c>
    </row>
    <row r="33" spans="1:42" ht="13.5">
      <c r="A33" s="46"/>
      <c r="B33" s="47"/>
      <c r="C33" s="47"/>
      <c r="D33" s="47"/>
      <c r="E33" s="310"/>
      <c r="F33" s="285"/>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15"/>
    </row>
    <row r="34" spans="1:42" ht="13.5">
      <c r="A34" s="302" t="s">
        <v>513</v>
      </c>
      <c r="B34" s="47"/>
      <c r="C34" s="47"/>
      <c r="D34" s="47"/>
      <c r="E34" s="310"/>
      <c r="F34" s="285"/>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15"/>
    </row>
    <row r="35" spans="1:42" ht="13.5">
      <c r="A35" s="316" t="s">
        <v>514</v>
      </c>
      <c r="B35" s="49">
        <f>'Revenue - B-to-B'!C4</f>
        <v>928400</v>
      </c>
      <c r="C35" s="49">
        <f>'Revenue - B-to-B'!D4</f>
        <v>1108400</v>
      </c>
      <c r="D35" s="49">
        <f>'Revenue - B-to-B'!E4</f>
        <v>1198400</v>
      </c>
      <c r="E35" s="310" t="str">
        <f>'Revenue - B-to-B'!F4</f>
        <v>year 1 launch</v>
      </c>
      <c r="F35" s="285"/>
      <c r="G35" s="48">
        <f>'Revenue - B-to-B'!H4</f>
        <v>0</v>
      </c>
      <c r="H35" s="48">
        <f>'Revenue - B-to-B'!I4</f>
        <v>0</v>
      </c>
      <c r="I35" s="48">
        <f>'Revenue - B-to-B'!J4</f>
        <v>0</v>
      </c>
      <c r="J35" s="48">
        <f>'Revenue - B-to-B'!K4</f>
        <v>103155.55555555556</v>
      </c>
      <c r="K35" s="48">
        <f>'Revenue - B-to-B'!L4</f>
        <v>103155.55555555556</v>
      </c>
      <c r="L35" s="48">
        <f>'Revenue - B-to-B'!M4</f>
        <v>103155.55555555556</v>
      </c>
      <c r="M35" s="48">
        <f>'Revenue - B-to-B'!N4</f>
        <v>103155.55555555556</v>
      </c>
      <c r="N35" s="48">
        <f>'Revenue - B-to-B'!O4</f>
        <v>103155.55555555556</v>
      </c>
      <c r="O35" s="48">
        <f>'Revenue - B-to-B'!P4</f>
        <v>103155.55555555556</v>
      </c>
      <c r="P35" s="48">
        <f>'Revenue - B-to-B'!Q4</f>
        <v>103155.55555555556</v>
      </c>
      <c r="Q35" s="48">
        <f>'Revenue - B-to-B'!R4</f>
        <v>103155.55555555556</v>
      </c>
      <c r="R35" s="48">
        <f>'Revenue - B-to-B'!S4</f>
        <v>103155.55555555556</v>
      </c>
      <c r="S35" s="48">
        <f>'Revenue - B-to-B'!T4</f>
        <v>92366.66666666667</v>
      </c>
      <c r="T35" s="48">
        <f>'Revenue - B-to-B'!U4</f>
        <v>92366.66666666667</v>
      </c>
      <c r="U35" s="48">
        <f>'Revenue - B-to-B'!V4</f>
        <v>92366.66666666667</v>
      </c>
      <c r="V35" s="48">
        <f>'Revenue - B-to-B'!W4</f>
        <v>92366.66666666667</v>
      </c>
      <c r="W35" s="48">
        <f>'Revenue - B-to-B'!X4</f>
        <v>92366.66666666667</v>
      </c>
      <c r="X35" s="48">
        <f>'Revenue - B-to-B'!Y4</f>
        <v>92366.66666666667</v>
      </c>
      <c r="Y35" s="48">
        <f>'Revenue - B-to-B'!Z4</f>
        <v>92366.66666666667</v>
      </c>
      <c r="Z35" s="48">
        <f>'Revenue - B-to-B'!AA4</f>
        <v>92366.66666666667</v>
      </c>
      <c r="AA35" s="48">
        <f>'Revenue - B-to-B'!AB4</f>
        <v>92366.66666666667</v>
      </c>
      <c r="AB35" s="48">
        <f>'Revenue - B-to-B'!AC4</f>
        <v>92366.66666666667</v>
      </c>
      <c r="AC35" s="48">
        <f>'Revenue - B-to-B'!AD4</f>
        <v>92366.66666666667</v>
      </c>
      <c r="AD35" s="48">
        <f>'Revenue - B-to-B'!AE4</f>
        <v>92366.66666666667</v>
      </c>
      <c r="AE35" s="48">
        <f>'Revenue - B-to-B'!AF4</f>
        <v>99866.66666666667</v>
      </c>
      <c r="AF35" s="48">
        <f>'Revenue - B-to-B'!AG4</f>
        <v>99866.66666666667</v>
      </c>
      <c r="AG35" s="48">
        <f>'Revenue - B-to-B'!AH4</f>
        <v>99866.66666666667</v>
      </c>
      <c r="AH35" s="48">
        <f>'Revenue - B-to-B'!AI4</f>
        <v>99866.66666666667</v>
      </c>
      <c r="AI35" s="48">
        <f>'Revenue - B-to-B'!AJ4</f>
        <v>99866.66666666667</v>
      </c>
      <c r="AJ35" s="48">
        <f>'Revenue - B-to-B'!AK4</f>
        <v>99866.66666666667</v>
      </c>
      <c r="AK35" s="48">
        <f>'Revenue - B-to-B'!AL4</f>
        <v>99866.66666666667</v>
      </c>
      <c r="AL35" s="48">
        <f>'Revenue - B-to-B'!AM4</f>
        <v>99866.66666666667</v>
      </c>
      <c r="AM35" s="48">
        <f>'Revenue - B-to-B'!AN4</f>
        <v>99866.66666666667</v>
      </c>
      <c r="AN35" s="48">
        <f>'Revenue - B-to-B'!AO4</f>
        <v>99866.66666666667</v>
      </c>
      <c r="AO35" s="48">
        <f>'Revenue - B-to-B'!AP4</f>
        <v>99866.66666666667</v>
      </c>
      <c r="AP35" s="15">
        <f>'Revenue - B-to-B'!AQ4</f>
        <v>99866.66666666667</v>
      </c>
    </row>
    <row r="36" spans="1:42" ht="13.5">
      <c r="A36" s="316" t="s">
        <v>183</v>
      </c>
      <c r="B36" s="49">
        <f>'Revenue - B-to-B'!C6</f>
        <v>742500</v>
      </c>
      <c r="C36" s="49">
        <f>'Revenue - B-to-B'!D6</f>
        <v>990000</v>
      </c>
      <c r="D36" s="49">
        <f>'Revenue - B-to-B'!E6</f>
        <v>1237500</v>
      </c>
      <c r="E36" s="310" t="str">
        <f>'Revenue - B-to-B'!F6</f>
        <v>year 1 launch</v>
      </c>
      <c r="F36" s="285"/>
      <c r="G36" s="48">
        <f>'Revenue - B-to-B'!H6</f>
        <v>0</v>
      </c>
      <c r="H36" s="48">
        <f>'Revenue - B-to-B'!I6</f>
        <v>0</v>
      </c>
      <c r="I36" s="48">
        <f>'Revenue - B-to-B'!J6</f>
        <v>0</v>
      </c>
      <c r="J36" s="48">
        <f>'Revenue - B-to-B'!K6</f>
        <v>82500</v>
      </c>
      <c r="K36" s="48">
        <f>'Revenue - B-to-B'!L6</f>
        <v>82500</v>
      </c>
      <c r="L36" s="48">
        <f>'Revenue - B-to-B'!M6</f>
        <v>82500</v>
      </c>
      <c r="M36" s="48">
        <f>'Revenue - B-to-B'!N6</f>
        <v>82500</v>
      </c>
      <c r="N36" s="48">
        <f>'Revenue - B-to-B'!O6</f>
        <v>82500</v>
      </c>
      <c r="O36" s="48">
        <f>'Revenue - B-to-B'!P6</f>
        <v>82500</v>
      </c>
      <c r="P36" s="48">
        <f>'Revenue - B-to-B'!Q6</f>
        <v>82500</v>
      </c>
      <c r="Q36" s="48">
        <f>'Revenue - B-to-B'!R6</f>
        <v>82500</v>
      </c>
      <c r="R36" s="48">
        <f>'Revenue - B-to-B'!S6</f>
        <v>82500</v>
      </c>
      <c r="S36" s="48">
        <f>'Revenue - B-to-B'!T6</f>
        <v>82500</v>
      </c>
      <c r="T36" s="48">
        <f>'Revenue - B-to-B'!U6</f>
        <v>82500</v>
      </c>
      <c r="U36" s="48">
        <f>'Revenue - B-to-B'!V6</f>
        <v>82500</v>
      </c>
      <c r="V36" s="48">
        <f>'Revenue - B-to-B'!W6</f>
        <v>82500</v>
      </c>
      <c r="W36" s="48">
        <f>'Revenue - B-to-B'!X6</f>
        <v>82500</v>
      </c>
      <c r="X36" s="48">
        <f>'Revenue - B-to-B'!Y6</f>
        <v>82500</v>
      </c>
      <c r="Y36" s="48">
        <f>'Revenue - B-to-B'!Z6</f>
        <v>82500</v>
      </c>
      <c r="Z36" s="48">
        <f>'Revenue - B-to-B'!AA6</f>
        <v>82500</v>
      </c>
      <c r="AA36" s="48">
        <f>'Revenue - B-to-B'!AB6</f>
        <v>82500</v>
      </c>
      <c r="AB36" s="48">
        <f>'Revenue - B-to-B'!AC6</f>
        <v>82500</v>
      </c>
      <c r="AC36" s="48">
        <f>'Revenue - B-to-B'!AD6</f>
        <v>82500</v>
      </c>
      <c r="AD36" s="48">
        <f>'Revenue - B-to-B'!AE6</f>
        <v>82500</v>
      </c>
      <c r="AE36" s="48">
        <f>'Revenue - B-to-B'!AF6</f>
        <v>103125</v>
      </c>
      <c r="AF36" s="48">
        <f>'Revenue - B-to-B'!AG6</f>
        <v>103125</v>
      </c>
      <c r="AG36" s="48">
        <f>'Revenue - B-to-B'!AH6</f>
        <v>103125</v>
      </c>
      <c r="AH36" s="48">
        <f>'Revenue - B-to-B'!AI6</f>
        <v>103125</v>
      </c>
      <c r="AI36" s="48">
        <f>'Revenue - B-to-B'!AJ6</f>
        <v>103125</v>
      </c>
      <c r="AJ36" s="48">
        <f>'Revenue - B-to-B'!AK6</f>
        <v>103125</v>
      </c>
      <c r="AK36" s="48">
        <f>'Revenue - B-to-B'!AL6</f>
        <v>103125</v>
      </c>
      <c r="AL36" s="48">
        <f>'Revenue - B-to-B'!AM6</f>
        <v>103125</v>
      </c>
      <c r="AM36" s="48">
        <f>'Revenue - B-to-B'!AN6</f>
        <v>103125</v>
      </c>
      <c r="AN36" s="48">
        <f>'Revenue - B-to-B'!AO6</f>
        <v>103125</v>
      </c>
      <c r="AO36" s="48">
        <f>'Revenue - B-to-B'!AP6</f>
        <v>103125</v>
      </c>
      <c r="AP36" s="15">
        <f>'Revenue - B-to-B'!AQ6</f>
        <v>103125</v>
      </c>
    </row>
    <row r="37" spans="1:42" ht="13.5">
      <c r="A37" s="316" t="s">
        <v>515</v>
      </c>
      <c r="B37" s="49">
        <f>'Revenue - B-to-B'!C8</f>
        <v>245758</v>
      </c>
      <c r="C37" s="49">
        <f>'Revenue - B-to-B'!D8</f>
        <v>362472</v>
      </c>
      <c r="D37" s="49">
        <f>'Revenue - B-to-B'!E8</f>
        <v>386808</v>
      </c>
      <c r="E37" s="310" t="str">
        <f>'Revenue - B-to-B'!F8</f>
        <v>year 1 launch</v>
      </c>
      <c r="F37" s="285"/>
      <c r="G37" s="48">
        <f>'Revenue - B-to-B'!H8</f>
        <v>0</v>
      </c>
      <c r="H37" s="48">
        <f>'Revenue - B-to-B'!I8</f>
        <v>0</v>
      </c>
      <c r="I37" s="48">
        <f>'Revenue - B-to-B'!J8</f>
        <v>0</v>
      </c>
      <c r="J37" s="48">
        <f>'Revenue - B-to-B'!K8</f>
        <v>27306.444444444445</v>
      </c>
      <c r="K37" s="48">
        <f>'Revenue - B-to-B'!L8</f>
        <v>27306.444444444445</v>
      </c>
      <c r="L37" s="48">
        <f>'Revenue - B-to-B'!M8</f>
        <v>27306.444444444445</v>
      </c>
      <c r="M37" s="48">
        <f>'Revenue - B-to-B'!N8</f>
        <v>27306.444444444445</v>
      </c>
      <c r="N37" s="48">
        <f>'Revenue - B-to-B'!O8</f>
        <v>27306.444444444445</v>
      </c>
      <c r="O37" s="48">
        <f>'Revenue - B-to-B'!P8</f>
        <v>27306.444444444445</v>
      </c>
      <c r="P37" s="48">
        <f>'Revenue - B-to-B'!Q8</f>
        <v>27306.444444444445</v>
      </c>
      <c r="Q37" s="48">
        <f>'Revenue - B-to-B'!R8</f>
        <v>27306.444444444445</v>
      </c>
      <c r="R37" s="48">
        <f>'Revenue - B-to-B'!S8</f>
        <v>27306.444444444445</v>
      </c>
      <c r="S37" s="48">
        <f>'Revenue - B-to-B'!T8</f>
        <v>30206</v>
      </c>
      <c r="T37" s="48">
        <f>'Revenue - B-to-B'!U8</f>
        <v>30206</v>
      </c>
      <c r="U37" s="48">
        <f>'Revenue - B-to-B'!V8</f>
        <v>30206</v>
      </c>
      <c r="V37" s="48">
        <f>'Revenue - B-to-B'!W8</f>
        <v>30206</v>
      </c>
      <c r="W37" s="48">
        <f>'Revenue - B-to-B'!X8</f>
        <v>30206</v>
      </c>
      <c r="X37" s="48">
        <f>'Revenue - B-to-B'!Y8</f>
        <v>30206</v>
      </c>
      <c r="Y37" s="48">
        <f>'Revenue - B-to-B'!Z8</f>
        <v>30206</v>
      </c>
      <c r="Z37" s="48">
        <f>'Revenue - B-to-B'!AA8</f>
        <v>30206</v>
      </c>
      <c r="AA37" s="48">
        <f>'Revenue - B-to-B'!AB8</f>
        <v>30206</v>
      </c>
      <c r="AB37" s="48">
        <f>'Revenue - B-to-B'!AC8</f>
        <v>30206</v>
      </c>
      <c r="AC37" s="48">
        <f>'Revenue - B-to-B'!AD8</f>
        <v>30206</v>
      </c>
      <c r="AD37" s="48">
        <f>'Revenue - B-to-B'!AE8</f>
        <v>30206</v>
      </c>
      <c r="AE37" s="48">
        <f>'Revenue - B-to-B'!AF8</f>
        <v>32234</v>
      </c>
      <c r="AF37" s="48">
        <f>'Revenue - B-to-B'!AG8</f>
        <v>32234</v>
      </c>
      <c r="AG37" s="48">
        <f>'Revenue - B-to-B'!AH8</f>
        <v>32234</v>
      </c>
      <c r="AH37" s="48">
        <f>'Revenue - B-to-B'!AI8</f>
        <v>32234</v>
      </c>
      <c r="AI37" s="48">
        <f>'Revenue - B-to-B'!AJ8</f>
        <v>32234</v>
      </c>
      <c r="AJ37" s="48">
        <f>'Revenue - B-to-B'!AK8</f>
        <v>32234</v>
      </c>
      <c r="AK37" s="48">
        <f>'Revenue - B-to-B'!AL8</f>
        <v>32234</v>
      </c>
      <c r="AL37" s="48">
        <f>'Revenue - B-to-B'!AM8</f>
        <v>32234</v>
      </c>
      <c r="AM37" s="48">
        <f>'Revenue - B-to-B'!AN8</f>
        <v>32234</v>
      </c>
      <c r="AN37" s="48">
        <f>'Revenue - B-to-B'!AO8</f>
        <v>32234</v>
      </c>
      <c r="AO37" s="48">
        <f>'Revenue - B-to-B'!AP8</f>
        <v>32234</v>
      </c>
      <c r="AP37" s="15">
        <f>'Revenue - B-to-B'!AQ8</f>
        <v>32234</v>
      </c>
    </row>
    <row r="38" spans="1:42" ht="13.5">
      <c r="A38" s="316" t="s">
        <v>516</v>
      </c>
      <c r="B38" s="49">
        <f>'Revenue - B-to-B'!C10</f>
        <v>0</v>
      </c>
      <c r="C38" s="49">
        <f>'Revenue - B-to-B'!D10</f>
        <v>0</v>
      </c>
      <c r="D38" s="49">
        <f>'Revenue - B-to-B'!E10</f>
        <v>0</v>
      </c>
      <c r="E38" s="310" t="str">
        <f>'Revenue - B-to-B'!F10</f>
        <v>Don't do due to strong competition</v>
      </c>
      <c r="F38" s="285"/>
      <c r="G38" s="48">
        <f>'Revenue - B-to-B'!H10</f>
        <v>0</v>
      </c>
      <c r="H38" s="48">
        <f>'Revenue - B-to-B'!I10</f>
        <v>0</v>
      </c>
      <c r="I38" s="48">
        <f>'Revenue - B-to-B'!J10</f>
        <v>0</v>
      </c>
      <c r="J38" s="48">
        <f>'Revenue - B-to-B'!K10</f>
        <v>0</v>
      </c>
      <c r="K38" s="48">
        <f>'Revenue - B-to-B'!L10</f>
        <v>0</v>
      </c>
      <c r="L38" s="48">
        <f>'Revenue - B-to-B'!M10</f>
        <v>0</v>
      </c>
      <c r="M38" s="48">
        <f>'Revenue - B-to-B'!N10</f>
        <v>0</v>
      </c>
      <c r="N38" s="48">
        <f>'Revenue - B-to-B'!O10</f>
        <v>0</v>
      </c>
      <c r="O38" s="48">
        <f>'Revenue - B-to-B'!P10</f>
        <v>0</v>
      </c>
      <c r="P38" s="48">
        <f>'Revenue - B-to-B'!Q10</f>
        <v>0</v>
      </c>
      <c r="Q38" s="48">
        <f>'Revenue - B-to-B'!R10</f>
        <v>0</v>
      </c>
      <c r="R38" s="48">
        <f>'Revenue - B-to-B'!S10</f>
        <v>0</v>
      </c>
      <c r="S38" s="48">
        <f>'Revenue - B-to-B'!T10</f>
        <v>0</v>
      </c>
      <c r="T38" s="48">
        <f>'Revenue - B-to-B'!U10</f>
        <v>0</v>
      </c>
      <c r="U38" s="48">
        <f>'Revenue - B-to-B'!V10</f>
        <v>0</v>
      </c>
      <c r="V38" s="48">
        <f>'Revenue - B-to-B'!W10</f>
        <v>0</v>
      </c>
      <c r="W38" s="48">
        <f>'Revenue - B-to-B'!X10</f>
        <v>0</v>
      </c>
      <c r="X38" s="48">
        <f>'Revenue - B-to-B'!Y10</f>
        <v>0</v>
      </c>
      <c r="Y38" s="48">
        <f>'Revenue - B-to-B'!Z10</f>
        <v>0</v>
      </c>
      <c r="Z38" s="48">
        <f>'Revenue - B-to-B'!AA10</f>
        <v>0</v>
      </c>
      <c r="AA38" s="48">
        <f>'Revenue - B-to-B'!AB10</f>
        <v>0</v>
      </c>
      <c r="AB38" s="48">
        <f>'Revenue - B-to-B'!AC10</f>
        <v>0</v>
      </c>
      <c r="AC38" s="48">
        <f>'Revenue - B-to-B'!AD10</f>
        <v>0</v>
      </c>
      <c r="AD38" s="48">
        <f>'Revenue - B-to-B'!AE10</f>
        <v>0</v>
      </c>
      <c r="AE38" s="48">
        <f>'Revenue - B-to-B'!AF10</f>
        <v>0</v>
      </c>
      <c r="AF38" s="48">
        <f>'Revenue - B-to-B'!AG10</f>
        <v>0</v>
      </c>
      <c r="AG38" s="48">
        <f>'Revenue - B-to-B'!AH10</f>
        <v>0</v>
      </c>
      <c r="AH38" s="48">
        <f>'Revenue - B-to-B'!AI10</f>
        <v>0</v>
      </c>
      <c r="AI38" s="48">
        <f>'Revenue - B-to-B'!AJ10</f>
        <v>0</v>
      </c>
      <c r="AJ38" s="48">
        <f>'Revenue - B-to-B'!AK10</f>
        <v>0</v>
      </c>
      <c r="AK38" s="48">
        <f>'Revenue - B-to-B'!AL10</f>
        <v>0</v>
      </c>
      <c r="AL38" s="48">
        <f>'Revenue - B-to-B'!AM10</f>
        <v>0</v>
      </c>
      <c r="AM38" s="48">
        <f>'Revenue - B-to-B'!AN10</f>
        <v>0</v>
      </c>
      <c r="AN38" s="48">
        <f>'Revenue - B-to-B'!AO10</f>
        <v>0</v>
      </c>
      <c r="AO38" s="48">
        <f>'Revenue - B-to-B'!AP10</f>
        <v>0</v>
      </c>
      <c r="AP38" s="15">
        <f>'Revenue - B-to-B'!AQ10</f>
        <v>0</v>
      </c>
    </row>
    <row r="39" spans="1:43" ht="13.5">
      <c r="A39" s="316" t="s">
        <v>517</v>
      </c>
      <c r="B39" s="49">
        <f>'Revenue - B-to-B'!C12</f>
        <v>0</v>
      </c>
      <c r="C39" s="49">
        <f>'Revenue - B-to-B'!D12</f>
        <v>264000</v>
      </c>
      <c r="D39" s="49">
        <f>'Revenue - B-to-B'!E12</f>
        <v>480000</v>
      </c>
      <c r="E39" s="310" t="str">
        <f>'Revenue - B-to-B'!F12</f>
        <v>year 2 launch</v>
      </c>
      <c r="F39" s="285"/>
      <c r="G39" s="48">
        <f>'Revenue - B-to-B'!H12</f>
        <v>0</v>
      </c>
      <c r="H39" s="48">
        <f>'Revenue - B-to-B'!I12</f>
        <v>0</v>
      </c>
      <c r="I39" s="48">
        <f>'Revenue - B-to-B'!J12</f>
        <v>0</v>
      </c>
      <c r="J39" s="48">
        <f>'Revenue - B-to-B'!K12</f>
        <v>0</v>
      </c>
      <c r="K39" s="48">
        <f>'Revenue - B-to-B'!L12</f>
        <v>0</v>
      </c>
      <c r="L39" s="48">
        <f>'Revenue - B-to-B'!M12</f>
        <v>0</v>
      </c>
      <c r="M39" s="48">
        <f>'Revenue - B-to-B'!N12</f>
        <v>0</v>
      </c>
      <c r="N39" s="48">
        <f>'Revenue - B-to-B'!O12</f>
        <v>0</v>
      </c>
      <c r="O39" s="48">
        <f>'Revenue - B-to-B'!P12</f>
        <v>0</v>
      </c>
      <c r="P39" s="48">
        <f>'Revenue - B-to-B'!Q12</f>
        <v>0</v>
      </c>
      <c r="Q39" s="48">
        <f>'Revenue - B-to-B'!R12</f>
        <v>0</v>
      </c>
      <c r="R39" s="48">
        <f>'Revenue - B-to-B'!S12</f>
        <v>0</v>
      </c>
      <c r="S39" s="48">
        <f>'Revenue - B-to-B'!T12</f>
        <v>22000</v>
      </c>
      <c r="T39" s="48">
        <f>'Revenue - B-to-B'!U12</f>
        <v>22000</v>
      </c>
      <c r="U39" s="48">
        <f>'Revenue - B-to-B'!V12</f>
        <v>22000</v>
      </c>
      <c r="V39" s="48">
        <f>'Revenue - B-to-B'!W12</f>
        <v>22000</v>
      </c>
      <c r="W39" s="48">
        <f>'Revenue - B-to-B'!X12</f>
        <v>22000</v>
      </c>
      <c r="X39" s="48">
        <f>'Revenue - B-to-B'!Y12</f>
        <v>22000</v>
      </c>
      <c r="Y39" s="48">
        <f>'Revenue - B-to-B'!Z12</f>
        <v>22000</v>
      </c>
      <c r="Z39" s="48">
        <f>'Revenue - B-to-B'!AA12</f>
        <v>22000</v>
      </c>
      <c r="AA39" s="48">
        <f>'Revenue - B-to-B'!AB12</f>
        <v>22000</v>
      </c>
      <c r="AB39" s="48">
        <f>'Revenue - B-to-B'!AC12</f>
        <v>22000</v>
      </c>
      <c r="AC39" s="48">
        <f>'Revenue - B-to-B'!AD12</f>
        <v>22000</v>
      </c>
      <c r="AD39" s="48">
        <f>'Revenue - B-to-B'!AE12</f>
        <v>22000</v>
      </c>
      <c r="AE39" s="48">
        <f>'Revenue - B-to-B'!AF12</f>
        <v>40000</v>
      </c>
      <c r="AF39" s="48">
        <f>'Revenue - B-to-B'!AG12</f>
        <v>40000</v>
      </c>
      <c r="AG39" s="48">
        <f>'Revenue - B-to-B'!AH12</f>
        <v>40000</v>
      </c>
      <c r="AH39" s="48">
        <f>'Revenue - B-to-B'!AI12</f>
        <v>40000</v>
      </c>
      <c r="AI39" s="48">
        <f>'Revenue - B-to-B'!AJ12</f>
        <v>40000</v>
      </c>
      <c r="AJ39" s="48">
        <f>'Revenue - B-to-B'!AK12</f>
        <v>40000</v>
      </c>
      <c r="AK39" s="48">
        <f>'Revenue - B-to-B'!AL12</f>
        <v>40000</v>
      </c>
      <c r="AL39" s="48">
        <f>'Revenue - B-to-B'!AM12</f>
        <v>40000</v>
      </c>
      <c r="AM39" s="48">
        <f>'Revenue - B-to-B'!AN12</f>
        <v>40000</v>
      </c>
      <c r="AN39" s="48">
        <f>'Revenue - B-to-B'!AO12</f>
        <v>40000</v>
      </c>
      <c r="AO39" s="48">
        <f>'Revenue - B-to-B'!AP12</f>
        <v>40000</v>
      </c>
      <c r="AP39" s="15">
        <f>'Revenue - B-to-B'!AQ12</f>
        <v>40000</v>
      </c>
      <c r="AQ39" s="48"/>
    </row>
    <row r="40" spans="1:44" ht="13.5">
      <c r="A40" s="316" t="s">
        <v>518</v>
      </c>
      <c r="B40" s="49">
        <f>'Revenue - B-to-B'!C14</f>
        <v>0</v>
      </c>
      <c r="C40" s="49">
        <f>'Revenue - B-to-B'!D14</f>
        <v>120000</v>
      </c>
      <c r="D40" s="49">
        <f>'Revenue - B-to-B'!E14</f>
        <v>180000</v>
      </c>
      <c r="E40" s="310" t="str">
        <f>'Revenue - B-to-B'!F14</f>
        <v>year 2 launch</v>
      </c>
      <c r="F40" s="285"/>
      <c r="G40" s="48">
        <f>'Revenue - B-to-B'!H14</f>
        <v>0</v>
      </c>
      <c r="H40" s="48">
        <f>'Revenue - B-to-B'!I14</f>
        <v>0</v>
      </c>
      <c r="I40" s="48">
        <f>'Revenue - B-to-B'!J14</f>
        <v>0</v>
      </c>
      <c r="J40" s="48">
        <f>'Revenue - B-to-B'!K14</f>
        <v>0</v>
      </c>
      <c r="K40" s="48">
        <f>'Revenue - B-to-B'!L14</f>
        <v>0</v>
      </c>
      <c r="L40" s="48">
        <f>'Revenue - B-to-B'!M14</f>
        <v>0</v>
      </c>
      <c r="M40" s="48">
        <f>'Revenue - B-to-B'!N14</f>
        <v>0</v>
      </c>
      <c r="N40" s="48">
        <f>'Revenue - B-to-B'!O14</f>
        <v>0</v>
      </c>
      <c r="O40" s="48">
        <f>'Revenue - B-to-B'!P14</f>
        <v>0</v>
      </c>
      <c r="P40" s="48">
        <f>'Revenue - B-to-B'!Q14</f>
        <v>0</v>
      </c>
      <c r="Q40" s="48">
        <f>'Revenue - B-to-B'!R14</f>
        <v>0</v>
      </c>
      <c r="R40" s="48">
        <f>'Revenue - B-to-B'!S14</f>
        <v>0</v>
      </c>
      <c r="S40" s="48">
        <f>'Revenue - B-to-B'!T14</f>
        <v>10000</v>
      </c>
      <c r="T40" s="48">
        <f>'Revenue - B-to-B'!U14</f>
        <v>10000</v>
      </c>
      <c r="U40" s="48">
        <f>'Revenue - B-to-B'!V14</f>
        <v>10000</v>
      </c>
      <c r="V40" s="48">
        <f>'Revenue - B-to-B'!W14</f>
        <v>10000</v>
      </c>
      <c r="W40" s="48">
        <f>'Revenue - B-to-B'!X14</f>
        <v>10000</v>
      </c>
      <c r="X40" s="48">
        <f>'Revenue - B-to-B'!Y14</f>
        <v>10000</v>
      </c>
      <c r="Y40" s="48">
        <f>'Revenue - B-to-B'!Z14</f>
        <v>10000</v>
      </c>
      <c r="Z40" s="48">
        <f>'Revenue - B-to-B'!AA14</f>
        <v>10000</v>
      </c>
      <c r="AA40" s="48">
        <f>'Revenue - B-to-B'!AB14</f>
        <v>10000</v>
      </c>
      <c r="AB40" s="48">
        <f>'Revenue - B-to-B'!AC14</f>
        <v>10000</v>
      </c>
      <c r="AC40" s="48">
        <f>'Revenue - B-to-B'!AD14</f>
        <v>10000</v>
      </c>
      <c r="AD40" s="48">
        <f>'Revenue - B-to-B'!AE14</f>
        <v>10000</v>
      </c>
      <c r="AE40" s="48">
        <f>'Revenue - B-to-B'!AF14</f>
        <v>15000</v>
      </c>
      <c r="AF40" s="48">
        <f>'Revenue - B-to-B'!AG14</f>
        <v>15000</v>
      </c>
      <c r="AG40" s="48">
        <f>'Revenue - B-to-B'!AH14</f>
        <v>15000</v>
      </c>
      <c r="AH40" s="48">
        <f>'Revenue - B-to-B'!AI14</f>
        <v>15000</v>
      </c>
      <c r="AI40" s="48">
        <f>'Revenue - B-to-B'!AJ14</f>
        <v>15000</v>
      </c>
      <c r="AJ40" s="48">
        <f>'Revenue - B-to-B'!AK14</f>
        <v>15000</v>
      </c>
      <c r="AK40" s="48">
        <f>'Revenue - B-to-B'!AL14</f>
        <v>15000</v>
      </c>
      <c r="AL40" s="48">
        <f>'Revenue - B-to-B'!AM14</f>
        <v>15000</v>
      </c>
      <c r="AM40" s="48">
        <f>'Revenue - B-to-B'!AN14</f>
        <v>15000</v>
      </c>
      <c r="AN40" s="48">
        <f>'Revenue - B-to-B'!AO14</f>
        <v>15000</v>
      </c>
      <c r="AO40" s="48">
        <f>'Revenue - B-to-B'!AP14</f>
        <v>15000</v>
      </c>
      <c r="AP40" s="15">
        <f>'Revenue - B-to-B'!AQ14</f>
        <v>15000</v>
      </c>
      <c r="AQ40" s="48"/>
      <c r="AR40" s="48"/>
    </row>
    <row r="41" spans="1:42" ht="13.5">
      <c r="A41" s="316" t="s">
        <v>519</v>
      </c>
      <c r="B41" s="49">
        <f>'Revenue - B-to-B'!C16</f>
        <v>0</v>
      </c>
      <c r="C41" s="49">
        <f>'Revenue - B-to-B'!D16</f>
        <v>0</v>
      </c>
      <c r="D41" s="49">
        <f>'Revenue - B-to-B'!E16</f>
        <v>0</v>
      </c>
      <c r="E41" s="310" t="str">
        <f>'Revenue - B-to-B'!F16</f>
        <v>Not included in this model</v>
      </c>
      <c r="F41" s="285"/>
      <c r="G41" s="48">
        <f>'Revenue - B-to-B'!H16</f>
        <v>0</v>
      </c>
      <c r="H41" s="48">
        <f>'Revenue - B-to-B'!I16</f>
        <v>0</v>
      </c>
      <c r="I41" s="48">
        <f>'Revenue - B-to-B'!J16</f>
        <v>0</v>
      </c>
      <c r="J41" s="48">
        <f>'Revenue - B-to-B'!K16</f>
        <v>0</v>
      </c>
      <c r="K41" s="48">
        <f>'Revenue - B-to-B'!L16</f>
        <v>0</v>
      </c>
      <c r="L41" s="48">
        <f>'Revenue - B-to-B'!M16</f>
        <v>0</v>
      </c>
      <c r="M41" s="48">
        <f>'Revenue - B-to-B'!N16</f>
        <v>0</v>
      </c>
      <c r="N41" s="48">
        <f>'Revenue - B-to-B'!O16</f>
        <v>0</v>
      </c>
      <c r="O41" s="48">
        <f>'Revenue - B-to-B'!P16</f>
        <v>0</v>
      </c>
      <c r="P41" s="48">
        <f>'Revenue - B-to-B'!Q16</f>
        <v>0</v>
      </c>
      <c r="Q41" s="48">
        <f>'Revenue - B-to-B'!R16</f>
        <v>0</v>
      </c>
      <c r="R41" s="48">
        <f>'Revenue - B-to-B'!S16</f>
        <v>0</v>
      </c>
      <c r="S41" s="48">
        <f>'Revenue - B-to-B'!T16</f>
        <v>0</v>
      </c>
      <c r="T41" s="48">
        <f>'Revenue - B-to-B'!U16</f>
        <v>0</v>
      </c>
      <c r="U41" s="48">
        <f>'Revenue - B-to-B'!V16</f>
        <v>0</v>
      </c>
      <c r="V41" s="48">
        <f>'Revenue - B-to-B'!W16</f>
        <v>0</v>
      </c>
      <c r="W41" s="48">
        <f>'Revenue - B-to-B'!X16</f>
        <v>0</v>
      </c>
      <c r="X41" s="48">
        <f>'Revenue - B-to-B'!Y16</f>
        <v>0</v>
      </c>
      <c r="Y41" s="48">
        <f>'Revenue - B-to-B'!Z16</f>
        <v>0</v>
      </c>
      <c r="Z41" s="48">
        <f>'Revenue - B-to-B'!AA16</f>
        <v>0</v>
      </c>
      <c r="AA41" s="48">
        <f>'Revenue - B-to-B'!AB16</f>
        <v>0</v>
      </c>
      <c r="AB41" s="48">
        <f>'Revenue - B-to-B'!AC16</f>
        <v>0</v>
      </c>
      <c r="AC41" s="48">
        <f>'Revenue - B-to-B'!AD16</f>
        <v>0</v>
      </c>
      <c r="AD41" s="48">
        <f>'Revenue - B-to-B'!AE16</f>
        <v>0</v>
      </c>
      <c r="AE41" s="48">
        <f>'Revenue - B-to-B'!AF16</f>
        <v>0</v>
      </c>
      <c r="AF41" s="48">
        <f>'Revenue - B-to-B'!AG16</f>
        <v>0</v>
      </c>
      <c r="AG41" s="48">
        <f>'Revenue - B-to-B'!AH16</f>
        <v>0</v>
      </c>
      <c r="AH41" s="48">
        <f>'Revenue - B-to-B'!AI16</f>
        <v>0</v>
      </c>
      <c r="AI41" s="48">
        <f>'Revenue - B-to-B'!AJ16</f>
        <v>0</v>
      </c>
      <c r="AJ41" s="48">
        <f>'Revenue - B-to-B'!AK16</f>
        <v>0</v>
      </c>
      <c r="AK41" s="48">
        <f>'Revenue - B-to-B'!AL16</f>
        <v>0</v>
      </c>
      <c r="AL41" s="48">
        <f>'Revenue - B-to-B'!AM16</f>
        <v>0</v>
      </c>
      <c r="AM41" s="48">
        <f>'Revenue - B-to-B'!AN16</f>
        <v>0</v>
      </c>
      <c r="AN41" s="48">
        <f>'Revenue - B-to-B'!AO16</f>
        <v>0</v>
      </c>
      <c r="AO41" s="48">
        <f>'Revenue - B-to-B'!AP16</f>
        <v>0</v>
      </c>
      <c r="AP41" s="15">
        <f>'Revenue - B-to-B'!AQ16</f>
        <v>0</v>
      </c>
    </row>
    <row r="42" spans="1:42" s="45" customFormat="1" ht="15" thickBot="1">
      <c r="A42" s="317" t="s">
        <v>520</v>
      </c>
      <c r="B42" s="303">
        <f>'Revenue - B-to-B'!C18</f>
        <v>0</v>
      </c>
      <c r="C42" s="303">
        <f>'Revenue - B-to-B'!D18</f>
        <v>0</v>
      </c>
      <c r="D42" s="303">
        <f>'Revenue - B-to-B'!E18</f>
        <v>0</v>
      </c>
      <c r="E42" s="312" t="str">
        <f>'Revenue - B-to-B'!F18</f>
        <v>Not included in this model</v>
      </c>
      <c r="F42" s="288"/>
      <c r="G42" s="289">
        <f>'Revenue - B-to-B'!H18</f>
        <v>0</v>
      </c>
      <c r="H42" s="289">
        <f>'Revenue - B-to-B'!I18</f>
        <v>0</v>
      </c>
      <c r="I42" s="289">
        <f>'Revenue - B-to-B'!J18</f>
        <v>0</v>
      </c>
      <c r="J42" s="289">
        <f>'Revenue - B-to-B'!K18</f>
        <v>0</v>
      </c>
      <c r="K42" s="289">
        <f>'Revenue - B-to-B'!L18</f>
        <v>0</v>
      </c>
      <c r="L42" s="289">
        <f>'Revenue - B-to-B'!M18</f>
        <v>0</v>
      </c>
      <c r="M42" s="289">
        <f>'Revenue - B-to-B'!N18</f>
        <v>0</v>
      </c>
      <c r="N42" s="289">
        <f>'Revenue - B-to-B'!O18</f>
        <v>0</v>
      </c>
      <c r="O42" s="289">
        <f>'Revenue - B-to-B'!P18</f>
        <v>0</v>
      </c>
      <c r="P42" s="289">
        <f>'Revenue - B-to-B'!Q18</f>
        <v>0</v>
      </c>
      <c r="Q42" s="289">
        <f>'Revenue - B-to-B'!R18</f>
        <v>0</v>
      </c>
      <c r="R42" s="289">
        <f>'Revenue - B-to-B'!S18</f>
        <v>0</v>
      </c>
      <c r="S42" s="289">
        <f>'Revenue - B-to-B'!T18</f>
        <v>0</v>
      </c>
      <c r="T42" s="289">
        <f>'Revenue - B-to-B'!U18</f>
        <v>0</v>
      </c>
      <c r="U42" s="289">
        <f>'Revenue - B-to-B'!V18</f>
        <v>0</v>
      </c>
      <c r="V42" s="289">
        <f>'Revenue - B-to-B'!W18</f>
        <v>0</v>
      </c>
      <c r="W42" s="289">
        <f>'Revenue - B-to-B'!X18</f>
        <v>0</v>
      </c>
      <c r="X42" s="289">
        <f>'Revenue - B-to-B'!Y18</f>
        <v>0</v>
      </c>
      <c r="Y42" s="289">
        <f>'Revenue - B-to-B'!Z18</f>
        <v>0</v>
      </c>
      <c r="Z42" s="289">
        <f>'Revenue - B-to-B'!AA18</f>
        <v>0</v>
      </c>
      <c r="AA42" s="289">
        <f>'Revenue - B-to-B'!AB18</f>
        <v>0</v>
      </c>
      <c r="AB42" s="289">
        <f>'Revenue - B-to-B'!AC18</f>
        <v>0</v>
      </c>
      <c r="AC42" s="289">
        <f>'Revenue - B-to-B'!AD18</f>
        <v>0</v>
      </c>
      <c r="AD42" s="289">
        <f>'Revenue - B-to-B'!AE18</f>
        <v>0</v>
      </c>
      <c r="AE42" s="289">
        <f>'Revenue - B-to-B'!AF18</f>
        <v>0</v>
      </c>
      <c r="AF42" s="289">
        <f>'Revenue - B-to-B'!AG18</f>
        <v>0</v>
      </c>
      <c r="AG42" s="289">
        <f>'Revenue - B-to-B'!AH18</f>
        <v>0</v>
      </c>
      <c r="AH42" s="289">
        <f>'Revenue - B-to-B'!AI18</f>
        <v>0</v>
      </c>
      <c r="AI42" s="289">
        <f>'Revenue - B-to-B'!AJ18</f>
        <v>0</v>
      </c>
      <c r="AJ42" s="289">
        <f>'Revenue - B-to-B'!AK18</f>
        <v>0</v>
      </c>
      <c r="AK42" s="289">
        <f>'Revenue - B-to-B'!AL18</f>
        <v>0</v>
      </c>
      <c r="AL42" s="289">
        <f>'Revenue - B-to-B'!AM18</f>
        <v>0</v>
      </c>
      <c r="AM42" s="289">
        <f>'Revenue - B-to-B'!AN18</f>
        <v>0</v>
      </c>
      <c r="AN42" s="289">
        <f>'Revenue - B-to-B'!AO18</f>
        <v>0</v>
      </c>
      <c r="AO42" s="289">
        <f>'Revenue - B-to-B'!AP18</f>
        <v>0</v>
      </c>
      <c r="AP42" s="292">
        <f>'Revenue - B-to-B'!AQ18</f>
        <v>0</v>
      </c>
    </row>
    <row r="43" spans="1:42" ht="15" thickTop="1">
      <c r="A43" s="223" t="s">
        <v>512</v>
      </c>
      <c r="B43" s="49">
        <f>SUM(B35:B42)</f>
        <v>1916658</v>
      </c>
      <c r="C43" s="49">
        <f>SUM(C35:C42)</f>
        <v>2844872</v>
      </c>
      <c r="D43" s="49">
        <f>SUM(D35:D42)</f>
        <v>3482708</v>
      </c>
      <c r="E43" s="310"/>
      <c r="F43" s="285"/>
      <c r="G43" s="49">
        <f>SUM(G35:G42)</f>
        <v>0</v>
      </c>
      <c r="H43" s="49">
        <f aca="true" t="shared" si="1" ref="H43:AP43">SUM(H35:H42)</f>
        <v>0</v>
      </c>
      <c r="I43" s="49">
        <f t="shared" si="1"/>
        <v>0</v>
      </c>
      <c r="J43" s="49">
        <f t="shared" si="1"/>
        <v>212962</v>
      </c>
      <c r="K43" s="49">
        <f t="shared" si="1"/>
        <v>212962</v>
      </c>
      <c r="L43" s="49">
        <f t="shared" si="1"/>
        <v>212962</v>
      </c>
      <c r="M43" s="49">
        <f t="shared" si="1"/>
        <v>212962</v>
      </c>
      <c r="N43" s="49">
        <f t="shared" si="1"/>
        <v>212962</v>
      </c>
      <c r="O43" s="49">
        <f t="shared" si="1"/>
        <v>212962</v>
      </c>
      <c r="P43" s="49">
        <f t="shared" si="1"/>
        <v>212962</v>
      </c>
      <c r="Q43" s="49">
        <f t="shared" si="1"/>
        <v>212962</v>
      </c>
      <c r="R43" s="49">
        <f t="shared" si="1"/>
        <v>212962</v>
      </c>
      <c r="S43" s="49">
        <f t="shared" si="1"/>
        <v>237072.6666666667</v>
      </c>
      <c r="T43" s="49">
        <f t="shared" si="1"/>
        <v>237072.6666666667</v>
      </c>
      <c r="U43" s="49">
        <f t="shared" si="1"/>
        <v>237072.6666666667</v>
      </c>
      <c r="V43" s="49">
        <f t="shared" si="1"/>
        <v>237072.6666666667</v>
      </c>
      <c r="W43" s="49">
        <f t="shared" si="1"/>
        <v>237072.6666666667</v>
      </c>
      <c r="X43" s="49">
        <f t="shared" si="1"/>
        <v>237072.6666666667</v>
      </c>
      <c r="Y43" s="49">
        <f t="shared" si="1"/>
        <v>237072.6666666667</v>
      </c>
      <c r="Z43" s="49">
        <f t="shared" si="1"/>
        <v>237072.6666666667</v>
      </c>
      <c r="AA43" s="49">
        <f t="shared" si="1"/>
        <v>237072.6666666667</v>
      </c>
      <c r="AB43" s="49">
        <f t="shared" si="1"/>
        <v>237072.6666666667</v>
      </c>
      <c r="AC43" s="49">
        <f t="shared" si="1"/>
        <v>237072.6666666667</v>
      </c>
      <c r="AD43" s="49">
        <f t="shared" si="1"/>
        <v>237072.6666666667</v>
      </c>
      <c r="AE43" s="49">
        <f t="shared" si="1"/>
        <v>290225.6666666667</v>
      </c>
      <c r="AF43" s="49">
        <f t="shared" si="1"/>
        <v>290225.6666666667</v>
      </c>
      <c r="AG43" s="49">
        <f t="shared" si="1"/>
        <v>290225.6666666667</v>
      </c>
      <c r="AH43" s="49">
        <f t="shared" si="1"/>
        <v>290225.6666666667</v>
      </c>
      <c r="AI43" s="49">
        <f t="shared" si="1"/>
        <v>290225.6666666667</v>
      </c>
      <c r="AJ43" s="49">
        <f t="shared" si="1"/>
        <v>290225.6666666667</v>
      </c>
      <c r="AK43" s="49">
        <f t="shared" si="1"/>
        <v>290225.6666666667</v>
      </c>
      <c r="AL43" s="49">
        <f t="shared" si="1"/>
        <v>290225.6666666667</v>
      </c>
      <c r="AM43" s="49">
        <f t="shared" si="1"/>
        <v>290225.6666666667</v>
      </c>
      <c r="AN43" s="49">
        <f t="shared" si="1"/>
        <v>290225.6666666667</v>
      </c>
      <c r="AO43" s="49">
        <f t="shared" si="1"/>
        <v>290225.6666666667</v>
      </c>
      <c r="AP43" s="278">
        <f t="shared" si="1"/>
        <v>290225.6666666667</v>
      </c>
    </row>
    <row r="44" spans="1:42" ht="13.5">
      <c r="A44" s="46"/>
      <c r="B44" s="47"/>
      <c r="C44" s="47"/>
      <c r="D44" s="47"/>
      <c r="E44" s="310"/>
      <c r="F44" s="28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277"/>
    </row>
    <row r="45" spans="1:42" ht="13.5" customHeight="1" thickBot="1">
      <c r="A45" s="36" t="s">
        <v>461</v>
      </c>
      <c r="B45" s="304">
        <f>B18+B32+B43</f>
        <v>3844942.9484068397</v>
      </c>
      <c r="C45" s="304">
        <f>C18+C32+C43</f>
        <v>10920706.036628354</v>
      </c>
      <c r="D45" s="304">
        <f>D18+D32+D43</f>
        <v>19871008.650381003</v>
      </c>
      <c r="E45" s="313"/>
      <c r="F45" s="256"/>
      <c r="G45" s="20">
        <f aca="true" t="shared" si="2" ref="G45:AP45">G16+G32+G43</f>
        <v>0</v>
      </c>
      <c r="H45" s="20">
        <f t="shared" si="2"/>
        <v>0</v>
      </c>
      <c r="I45" s="20">
        <f t="shared" si="2"/>
        <v>0</v>
      </c>
      <c r="J45" s="20">
        <f t="shared" si="2"/>
        <v>311133.3333333333</v>
      </c>
      <c r="K45" s="20">
        <f t="shared" si="2"/>
        <v>336355.9083333333</v>
      </c>
      <c r="L45" s="20">
        <f t="shared" si="2"/>
        <v>355213.9083333333</v>
      </c>
      <c r="M45" s="20">
        <f t="shared" si="2"/>
        <v>374071.9083333333</v>
      </c>
      <c r="N45" s="20">
        <f t="shared" si="2"/>
        <v>399294.48333333334</v>
      </c>
      <c r="O45" s="20">
        <f t="shared" si="2"/>
        <v>418152.48333333334</v>
      </c>
      <c r="P45" s="20">
        <f t="shared" si="2"/>
        <v>437010.48333333334</v>
      </c>
      <c r="Q45" s="20">
        <f t="shared" si="2"/>
        <v>455868.48333333334</v>
      </c>
      <c r="R45" s="20">
        <f t="shared" si="2"/>
        <v>520421.3333333333</v>
      </c>
      <c r="S45" s="20">
        <f t="shared" si="2"/>
        <v>700018.2011111111</v>
      </c>
      <c r="T45" s="20">
        <f t="shared" si="2"/>
        <v>726921.5411111112</v>
      </c>
      <c r="U45" s="20">
        <f t="shared" si="2"/>
        <v>753824.8811111113</v>
      </c>
      <c r="V45" s="20">
        <f t="shared" si="2"/>
        <v>780728.2211111111</v>
      </c>
      <c r="W45" s="20">
        <f t="shared" si="2"/>
        <v>807631.5611111112</v>
      </c>
      <c r="X45" s="20">
        <f t="shared" si="2"/>
        <v>834534.901111111</v>
      </c>
      <c r="Y45" s="20">
        <f t="shared" si="2"/>
        <v>861438.2411111111</v>
      </c>
      <c r="Z45" s="20">
        <f t="shared" si="2"/>
        <v>888341.5811111112</v>
      </c>
      <c r="AA45" s="20">
        <f t="shared" si="2"/>
        <v>915244.9211111113</v>
      </c>
      <c r="AB45" s="20">
        <f t="shared" si="2"/>
        <v>942148.2611111111</v>
      </c>
      <c r="AC45" s="20">
        <f t="shared" si="2"/>
        <v>969051.6011111112</v>
      </c>
      <c r="AD45" s="20">
        <f t="shared" si="2"/>
        <v>995954.9411111113</v>
      </c>
      <c r="AE45" s="20">
        <f t="shared" si="2"/>
        <v>1382167.2997916667</v>
      </c>
      <c r="AF45" s="20">
        <f t="shared" si="2"/>
        <v>1406315.9197916668</v>
      </c>
      <c r="AG45" s="20">
        <f t="shared" si="2"/>
        <v>1430464.5397916667</v>
      </c>
      <c r="AH45" s="20">
        <f t="shared" si="2"/>
        <v>1454613.1597916668</v>
      </c>
      <c r="AI45" s="20">
        <f t="shared" si="2"/>
        <v>1478761.7797916667</v>
      </c>
      <c r="AJ45" s="20">
        <f t="shared" si="2"/>
        <v>1502910.3997916663</v>
      </c>
      <c r="AK45" s="20">
        <f t="shared" si="2"/>
        <v>1527059.0197916664</v>
      </c>
      <c r="AL45" s="20">
        <f t="shared" si="2"/>
        <v>1551207.6397916663</v>
      </c>
      <c r="AM45" s="20">
        <f t="shared" si="2"/>
        <v>1575356.2597916664</v>
      </c>
      <c r="AN45" s="20">
        <f t="shared" si="2"/>
        <v>1599504.8797916663</v>
      </c>
      <c r="AO45" s="20">
        <f t="shared" si="2"/>
        <v>1623653.4997916662</v>
      </c>
      <c r="AP45" s="21">
        <f t="shared" si="2"/>
        <v>1647802.1197916667</v>
      </c>
    </row>
    <row r="46" spans="1:4" ht="13.5">
      <c r="A46" s="46"/>
      <c r="B46" s="37"/>
      <c r="C46" s="47"/>
      <c r="D46" s="47"/>
    </row>
    <row r="47" spans="1:7" ht="12.75" customHeight="1">
      <c r="A47" s="307" t="s">
        <v>260</v>
      </c>
      <c r="B47" s="305"/>
      <c r="C47" s="306"/>
      <c r="D47" s="306"/>
      <c r="E47" s="45"/>
      <c r="F47" s="45"/>
      <c r="G47" s="48"/>
    </row>
    <row r="48" spans="1:4" ht="12.75" customHeight="1">
      <c r="A48" s="46"/>
      <c r="B48" s="46"/>
      <c r="C48" s="46"/>
      <c r="D48" s="46"/>
    </row>
    <row r="49" spans="1:4" ht="12.75" customHeight="1">
      <c r="A49" s="36" t="s">
        <v>436</v>
      </c>
      <c r="B49" s="49">
        <f>'Expenses - Website'!E28</f>
        <v>3143437.5</v>
      </c>
      <c r="C49" s="49">
        <f>'Expenses - Website'!F28</f>
        <v>5339275</v>
      </c>
      <c r="D49" s="49">
        <f>'Expenses - Website'!G28</f>
        <v>6207235.125</v>
      </c>
    </row>
    <row r="50" spans="1:4" ht="12.75" customHeight="1">
      <c r="A50" s="46"/>
      <c r="B50" s="46"/>
      <c r="C50" s="46"/>
      <c r="D50" s="46"/>
    </row>
    <row r="51" spans="1:4" ht="12.75" customHeight="1">
      <c r="A51" s="302" t="s">
        <v>261</v>
      </c>
      <c r="B51" s="46"/>
      <c r="C51" s="46"/>
      <c r="D51" s="46"/>
    </row>
    <row r="52" spans="1:4" ht="12.75" customHeight="1">
      <c r="A52" s="316" t="s">
        <v>262</v>
      </c>
      <c r="B52" s="49">
        <f>'Expenses- BtoC'!D47</f>
        <v>5000</v>
      </c>
      <c r="C52" s="49">
        <f>'Expenses- BtoC'!E47</f>
        <v>0</v>
      </c>
      <c r="D52" s="49">
        <f>'Expenses- BtoC'!F47</f>
        <v>0</v>
      </c>
    </row>
    <row r="53" spans="1:4" ht="12.75" customHeight="1">
      <c r="A53" s="316" t="s">
        <v>263</v>
      </c>
      <c r="B53" s="49">
        <f>'Expenses- BtoC'!D73</f>
        <v>195350</v>
      </c>
      <c r="C53" s="49">
        <f>'Expenses- BtoC'!E73</f>
        <v>254550</v>
      </c>
      <c r="D53" s="49">
        <f>'Expenses- BtoC'!F73</f>
        <v>255322.5</v>
      </c>
    </row>
    <row r="54" spans="1:4" ht="12.75" customHeight="1">
      <c r="A54" s="316" t="s">
        <v>264</v>
      </c>
      <c r="B54" s="49">
        <f>'Expenses- BtoC'!D98</f>
        <v>117500</v>
      </c>
      <c r="C54" s="49">
        <f>'Expenses- BtoC'!E98</f>
        <v>186500</v>
      </c>
      <c r="D54" s="49">
        <f>'Expenses- BtoC'!F98</f>
        <v>220345</v>
      </c>
    </row>
    <row r="55" spans="1:4" ht="12.75" customHeight="1">
      <c r="A55" s="316" t="s">
        <v>390</v>
      </c>
      <c r="B55" s="49">
        <f>'Expenses- BtoC'!D117</f>
        <v>8000</v>
      </c>
      <c r="C55" s="49">
        <f>'Expenses- BtoC'!E117</f>
        <v>3000</v>
      </c>
      <c r="D55" s="49">
        <f>'Expenses- BtoC'!F117</f>
        <v>3000</v>
      </c>
    </row>
    <row r="56" spans="1:4" ht="12.75" customHeight="1">
      <c r="A56" s="316" t="s">
        <v>391</v>
      </c>
      <c r="B56" s="49">
        <f>'Expenses- BtoC'!D135</f>
        <v>2000</v>
      </c>
      <c r="C56" s="49">
        <f>'Expenses- BtoC'!E135</f>
        <v>0</v>
      </c>
      <c r="D56" s="49">
        <f>'Expenses- BtoC'!F135</f>
        <v>0</v>
      </c>
    </row>
    <row r="57" spans="1:4" ht="12.75" customHeight="1">
      <c r="A57" s="317" t="s">
        <v>392</v>
      </c>
      <c r="B57" s="49">
        <f>'Expenses- BtoC'!D14</f>
        <v>0</v>
      </c>
      <c r="C57" s="49">
        <f>'Expenses- BtoC'!E14</f>
        <v>0</v>
      </c>
      <c r="D57" s="49">
        <f>'Expenses- BtoC'!F14</f>
        <v>0</v>
      </c>
    </row>
    <row r="58" spans="1:4" ht="12.75" customHeight="1">
      <c r="A58" s="316" t="s">
        <v>393</v>
      </c>
      <c r="B58" s="49">
        <f>'Expenses- BtoC'!D175</f>
        <v>0</v>
      </c>
      <c r="C58" s="49">
        <f>'Expenses- BtoC'!E175</f>
        <v>70018.75</v>
      </c>
      <c r="D58" s="49">
        <f>'Expenses- BtoC'!F175</f>
        <v>67969.3125</v>
      </c>
    </row>
    <row r="59" spans="1:76" ht="12.75" customHeight="1">
      <c r="A59" s="316" t="s">
        <v>394</v>
      </c>
      <c r="B59" s="49">
        <f>'Expenses- BtoC'!D193</f>
        <v>0</v>
      </c>
      <c r="C59" s="49">
        <f>'Expenses- BtoC'!E193</f>
        <v>5000</v>
      </c>
      <c r="D59" s="49">
        <f>'Expenses- BtoC'!F193</f>
        <v>0</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row>
    <row r="60" spans="1:76" ht="12.75" customHeight="1">
      <c r="A60" s="316" t="s">
        <v>509</v>
      </c>
      <c r="B60" s="49">
        <f>'Expenses- BtoC'!D235</f>
        <v>0</v>
      </c>
      <c r="C60" s="49">
        <f>'Expenses- BtoC'!E235</f>
        <v>1124988.875</v>
      </c>
      <c r="D60" s="49">
        <f>'Expenses- BtoC'!F235</f>
        <v>2740998.4546875</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row>
    <row r="61" spans="1:76" ht="12.75" customHeight="1">
      <c r="A61" s="317" t="s">
        <v>510</v>
      </c>
      <c r="B61" s="49">
        <f>'Expenses- BtoC'!D22</f>
        <v>0</v>
      </c>
      <c r="C61" s="49">
        <f>'Expenses- BtoC'!E22</f>
        <v>35000</v>
      </c>
      <c r="D61" s="49">
        <f>'Expenses- BtoC'!F22</f>
        <v>10000</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row>
    <row r="62" spans="1:76" s="52" customFormat="1" ht="12.75" customHeight="1">
      <c r="A62" s="316" t="s">
        <v>511</v>
      </c>
      <c r="B62" s="49">
        <f>'Expenses- BtoC'!D269</f>
        <v>0</v>
      </c>
      <c r="C62" s="49">
        <f>'Expenses- BtoC'!E269</f>
        <v>0</v>
      </c>
      <c r="D62" s="49">
        <f>'Expenses- BtoC'!F269</f>
        <v>0</v>
      </c>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row>
    <row r="63" spans="1:76" ht="12.75" customHeight="1">
      <c r="A63" s="302" t="s">
        <v>512</v>
      </c>
      <c r="B63" s="49">
        <f>SUM(B52:B62)</f>
        <v>327850</v>
      </c>
      <c r="C63" s="49">
        <f>SUM(C52:C62)</f>
        <v>1679057.625</v>
      </c>
      <c r="D63" s="49">
        <f>SUM(D52:D62)</f>
        <v>3297635.2671875</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row>
    <row r="64" spans="1:76" ht="12.75" customHeight="1">
      <c r="A64" s="46"/>
      <c r="B64" s="46"/>
      <c r="C64" s="46"/>
      <c r="D64" s="46"/>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row>
    <row r="65" spans="1:76" ht="12.75" customHeight="1">
      <c r="A65" s="302" t="s">
        <v>513</v>
      </c>
      <c r="B65" s="46"/>
      <c r="C65" s="46"/>
      <c r="D65" s="46"/>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row>
    <row r="66" spans="1:76" ht="12.75" customHeight="1">
      <c r="A66" s="316" t="s">
        <v>514</v>
      </c>
      <c r="B66" s="49">
        <f>'Expenses- B-to-B'!D57</f>
        <v>91880.41666666666</v>
      </c>
      <c r="C66" s="49">
        <f>'Expenses- B-to-B'!E57</f>
        <v>170407.5</v>
      </c>
      <c r="D66" s="49">
        <f>'Expenses- B-to-B'!F57</f>
        <v>245919.375</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row>
    <row r="67" spans="1:76" ht="12.75" customHeight="1">
      <c r="A67" s="316" t="s">
        <v>264</v>
      </c>
      <c r="B67" s="49">
        <f>'Expenses- B-to-B'!D83</f>
        <v>214666.66666666666</v>
      </c>
      <c r="C67" s="49">
        <f>'Expenses- B-to-B'!E83</f>
        <v>284500</v>
      </c>
      <c r="D67" s="49">
        <f>'Expenses- B-to-B'!F83</f>
        <v>348295</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row>
    <row r="68" spans="1:76" ht="12.75" customHeight="1">
      <c r="A68" s="316" t="s">
        <v>515</v>
      </c>
      <c r="B68" s="49">
        <f>'Expenses- B-to-B'!D105</f>
        <v>197291.6666666667</v>
      </c>
      <c r="C68" s="49">
        <f>'Expenses- B-to-B'!E105</f>
        <v>169649.99999999997</v>
      </c>
      <c r="D68" s="49">
        <f>'Expenses- B-to-B'!F105</f>
        <v>174439.49999999997</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row>
    <row r="69" spans="1:76" ht="12.75" customHeight="1">
      <c r="A69" s="316" t="s">
        <v>516</v>
      </c>
      <c r="B69" s="49">
        <f>'Expenses- B-to-B'!D126</f>
        <v>0</v>
      </c>
      <c r="C69" s="49">
        <f>'Expenses- B-to-B'!E126</f>
        <v>0</v>
      </c>
      <c r="D69" s="49">
        <f>'Expenses- B-to-B'!F126</f>
        <v>0</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row>
    <row r="70" spans="1:76" ht="12.75" customHeight="1">
      <c r="A70" s="316" t="s">
        <v>517</v>
      </c>
      <c r="B70" s="49">
        <f>'Expenses- B-to-B'!D161</f>
        <v>0</v>
      </c>
      <c r="C70" s="49">
        <f>'Expenses- B-to-B'!E161</f>
        <v>183950</v>
      </c>
      <c r="D70" s="49">
        <f>'Expenses- B-to-B'!F161</f>
        <v>175350</v>
      </c>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row>
    <row r="71" spans="1:76" ht="12.75" customHeight="1">
      <c r="A71" s="316" t="s">
        <v>518</v>
      </c>
      <c r="B71" s="49">
        <f>'Expenses- B-to-B'!D179</f>
        <v>0</v>
      </c>
      <c r="C71" s="49">
        <f>'Expenses- B-to-B'!E179</f>
        <v>41000</v>
      </c>
      <c r="D71" s="49">
        <f>'Expenses- B-to-B'!F179</f>
        <v>54000</v>
      </c>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row>
    <row r="72" spans="1:76" ht="12.75" customHeight="1">
      <c r="A72" s="316" t="s">
        <v>519</v>
      </c>
      <c r="B72" s="49">
        <f>'Expenses- B-to-B'!D200</f>
        <v>0</v>
      </c>
      <c r="C72" s="49">
        <f>'Expenses- B-to-B'!E200</f>
        <v>0</v>
      </c>
      <c r="D72" s="49">
        <f>'Expenses- B-to-B'!F200</f>
        <v>0</v>
      </c>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row>
    <row r="73" spans="1:76" s="52" customFormat="1" ht="12.75" customHeight="1">
      <c r="A73" s="317" t="s">
        <v>520</v>
      </c>
      <c r="B73" s="49">
        <f>'Expenses- B-to-B'!D219</f>
        <v>0</v>
      </c>
      <c r="C73" s="49">
        <f>'Expenses- B-to-B'!E219</f>
        <v>0</v>
      </c>
      <c r="D73" s="49">
        <f>'Expenses- B-to-B'!F219</f>
        <v>0</v>
      </c>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row>
    <row r="74" spans="1:76" ht="12.75" customHeight="1">
      <c r="A74" s="223" t="s">
        <v>512</v>
      </c>
      <c r="B74" s="49">
        <f>SUM(B66:B73)</f>
        <v>503838.75</v>
      </c>
      <c r="C74" s="49">
        <f>SUM(C66:C73)</f>
        <v>849507.5</v>
      </c>
      <c r="D74" s="49">
        <f>SUM(D66:D73)</f>
        <v>998003.875</v>
      </c>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row>
    <row r="75" spans="1:76" s="52" customFormat="1" ht="12.75" customHeight="1">
      <c r="A75" s="46"/>
      <c r="B75" s="46"/>
      <c r="C75" s="46"/>
      <c r="D75" s="46"/>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row>
    <row r="76" spans="1:76" ht="12.75" customHeight="1">
      <c r="A76" s="36" t="s">
        <v>461</v>
      </c>
      <c r="B76" s="304">
        <f>B49+B63+B74</f>
        <v>3975126.25</v>
      </c>
      <c r="C76" s="304">
        <f>C49+C63+C74</f>
        <v>7867840.125</v>
      </c>
      <c r="D76" s="304">
        <f>D49+D63+D74</f>
        <v>10502874.2671875</v>
      </c>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row>
    <row r="77" spans="1:76" ht="12.75" customHeight="1">
      <c r="A77" s="319" t="s">
        <v>442</v>
      </c>
      <c r="B77" s="320">
        <f>B76/B45</f>
        <v>1.0338583181441228</v>
      </c>
      <c r="C77" s="320">
        <f>C76/C45</f>
        <v>0.720451598881157</v>
      </c>
      <c r="D77" s="320">
        <f>D76/D45</f>
        <v>0.5285526493385186</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row>
    <row r="78" spans="5:76" ht="13.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row>
    <row r="79" spans="1:76" ht="13.5" customHeight="1">
      <c r="A79" s="27" t="s">
        <v>440</v>
      </c>
      <c r="B79" s="322">
        <f>SUM(B45-B76)</f>
        <v>-130183.30159316026</v>
      </c>
      <c r="C79" s="322">
        <f>SUM(C45-C76)</f>
        <v>3052865.9116283543</v>
      </c>
      <c r="D79" s="322">
        <f>SUM(D45-D76)</f>
        <v>9368134.383193502</v>
      </c>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row>
    <row r="80" spans="1:4" s="45" customFormat="1" ht="13.5" customHeight="1">
      <c r="A80" s="323" t="s">
        <v>439</v>
      </c>
      <c r="B80" s="321">
        <f>B79/B45</f>
        <v>-0.03385831814412278</v>
      </c>
      <c r="C80" s="321">
        <f>C79/C45</f>
        <v>0.2795484011188431</v>
      </c>
      <c r="D80" s="321">
        <f>D79/D45</f>
        <v>0.47144735066148136</v>
      </c>
    </row>
    <row r="81" spans="1:76" ht="13.5">
      <c r="A81" s="45"/>
      <c r="B81" s="165"/>
      <c r="C81" s="165"/>
      <c r="D81" s="16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row>
    <row r="82" spans="1:76" ht="13.5">
      <c r="A82" s="27" t="s">
        <v>441</v>
      </c>
      <c r="B82" s="28"/>
      <c r="C82" s="322">
        <f>B79+C79</f>
        <v>2922682.610035194</v>
      </c>
      <c r="D82" s="322">
        <f>C82+D79</f>
        <v>12290816.993228696</v>
      </c>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row>
    <row r="83" spans="5:76" ht="13.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row>
    <row r="84" spans="1:76" ht="13.5">
      <c r="A84" s="223" t="s">
        <v>443</v>
      </c>
      <c r="B84" s="324">
        <v>0</v>
      </c>
      <c r="C84" s="324">
        <v>0</v>
      </c>
      <c r="D84" s="324">
        <v>0</v>
      </c>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5"/>
    </row>
    <row r="85" spans="2:76" ht="13.5">
      <c r="B85" s="223"/>
      <c r="C85" s="223"/>
      <c r="D85" s="223"/>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5"/>
    </row>
    <row r="86" spans="1:76" ht="13.5">
      <c r="A86" s="223" t="s">
        <v>445</v>
      </c>
      <c r="B86" s="224">
        <f>'Expenses - Website'!E54*Staffing!B89</f>
        <v>58500</v>
      </c>
      <c r="C86" s="224">
        <f>'Expenses - Website'!F54*Staffing!C89</f>
        <v>70500</v>
      </c>
      <c r="D86" s="224">
        <f>'Expenses - Website'!G54*Staffing!D89</f>
        <v>81000</v>
      </c>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row>
    <row r="88" spans="1:4" ht="13.5">
      <c r="A88" s="171" t="s">
        <v>446</v>
      </c>
      <c r="B88" s="227">
        <f>B79</f>
        <v>-130183.30159316026</v>
      </c>
      <c r="C88" s="227">
        <f>C79</f>
        <v>3052865.9116283543</v>
      </c>
      <c r="D88" s="227">
        <f>D79</f>
        <v>9368134.383193502</v>
      </c>
    </row>
    <row r="89" spans="1:4" ht="13.5">
      <c r="A89" s="171"/>
      <c r="B89" s="223"/>
      <c r="C89" s="223"/>
      <c r="D89" s="223"/>
    </row>
    <row r="90" spans="1:4" ht="13.5">
      <c r="A90" s="171" t="s">
        <v>447</v>
      </c>
      <c r="B90" s="224">
        <f>B88*0.4</f>
        <v>-52073.32063726411</v>
      </c>
      <c r="C90" s="224">
        <f>C88*0.4</f>
        <v>1221146.3646513417</v>
      </c>
      <c r="D90" s="224">
        <f>D88*0.4</f>
        <v>3747253.753277401</v>
      </c>
    </row>
    <row r="91" spans="1:4" ht="13.5">
      <c r="A91" s="171"/>
      <c r="B91" s="223"/>
      <c r="C91" s="223"/>
      <c r="D91" s="223"/>
    </row>
    <row r="92" spans="1:4" ht="13.5">
      <c r="A92" s="171" t="s">
        <v>586</v>
      </c>
      <c r="B92" s="227">
        <f>B88-B90</f>
        <v>-78109.98095589614</v>
      </c>
      <c r="C92" s="227">
        <f>C88-C90</f>
        <v>1831719.5469770127</v>
      </c>
      <c r="D92" s="227">
        <f>D88-D90</f>
        <v>5620880.629916102</v>
      </c>
    </row>
    <row r="93" spans="1:4" ht="13.5">
      <c r="A93" s="325" t="s">
        <v>587</v>
      </c>
      <c r="B93" s="326">
        <f>B92/B45</f>
        <v>-0.020314990886473667</v>
      </c>
      <c r="C93" s="326">
        <f>C92/C45</f>
        <v>0.16772904067130587</v>
      </c>
      <c r="D93" s="326">
        <f>D92/D45</f>
        <v>0.2828684103968888</v>
      </c>
    </row>
    <row r="94" spans="2:4" ht="13.5">
      <c r="B94" s="223"/>
      <c r="C94" s="223"/>
      <c r="D94" s="223"/>
    </row>
  </sheetData>
  <printOptions/>
  <pageMargins left="0.5" right="0.5" top="0.75" bottom="0.75"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2:AR62"/>
  <sheetViews>
    <sheetView zoomScale="110" zoomScaleNormal="110" workbookViewId="0" topLeftCell="A1">
      <pane xSplit="3" ySplit="4" topLeftCell="D5" activePane="bottomRight" state="frozen"/>
      <selection pane="topLeft" activeCell="A1" sqref="A1"/>
      <selection pane="topRight" activeCell="D1" sqref="D1"/>
      <selection pane="bottomLeft" activeCell="A12" sqref="A12"/>
      <selection pane="bottomRight" activeCell="T30" sqref="T30"/>
    </sheetView>
  </sheetViews>
  <sheetFormatPr defaultColWidth="8.8515625" defaultRowHeight="12.75"/>
  <cols>
    <col min="1" max="1" width="4.28125" style="25" customWidth="1"/>
    <col min="2" max="2" width="3.7109375" style="25" customWidth="1"/>
    <col min="3" max="3" width="21.28125" style="25" customWidth="1"/>
    <col min="4" max="4" width="11.8515625" style="25" customWidth="1"/>
    <col min="5" max="7" width="11.421875" style="25" bestFit="1" customWidth="1"/>
    <col min="8" max="8" width="1.7109375" style="25" customWidth="1"/>
    <col min="9" max="19" width="9.8515625" style="25" bestFit="1" customWidth="1"/>
    <col min="20" max="20" width="11.00390625" style="25" bestFit="1" customWidth="1"/>
    <col min="21" max="44" width="9.421875" style="25" bestFit="1" customWidth="1"/>
    <col min="45" max="16384" width="8.8515625" style="25" customWidth="1"/>
  </cols>
  <sheetData>
    <row r="1" ht="15" thickBot="1"/>
    <row r="2" spans="1:44" ht="13.5">
      <c r="A2" s="99" t="s">
        <v>450</v>
      </c>
      <c r="D2" s="100"/>
      <c r="E2" s="101"/>
      <c r="F2" s="101"/>
      <c r="G2" s="102"/>
      <c r="H2" s="142"/>
      <c r="I2" s="53" t="s">
        <v>196</v>
      </c>
      <c r="J2" s="54"/>
      <c r="K2" s="54"/>
      <c r="L2" s="54"/>
      <c r="M2" s="54"/>
      <c r="N2" s="54"/>
      <c r="O2" s="54"/>
      <c r="P2" s="54"/>
      <c r="Q2" s="54"/>
      <c r="R2" s="54"/>
      <c r="S2" s="54"/>
      <c r="T2" s="39"/>
      <c r="U2" s="53" t="s">
        <v>197</v>
      </c>
      <c r="V2" s="54"/>
      <c r="W2" s="54"/>
      <c r="X2" s="54"/>
      <c r="Y2" s="54"/>
      <c r="Z2" s="54"/>
      <c r="AA2" s="54"/>
      <c r="AB2" s="54"/>
      <c r="AC2" s="54"/>
      <c r="AD2" s="54"/>
      <c r="AE2" s="54"/>
      <c r="AF2" s="39"/>
      <c r="AG2" s="53" t="s">
        <v>198</v>
      </c>
      <c r="AH2" s="54"/>
      <c r="AI2" s="54"/>
      <c r="AJ2" s="54"/>
      <c r="AK2" s="54"/>
      <c r="AL2" s="54"/>
      <c r="AM2" s="54"/>
      <c r="AN2" s="54"/>
      <c r="AO2" s="54"/>
      <c r="AP2" s="54"/>
      <c r="AQ2" s="54"/>
      <c r="AR2" s="39"/>
    </row>
    <row r="3" spans="4:44" ht="13.5">
      <c r="D3" s="104" t="s">
        <v>194</v>
      </c>
      <c r="E3" s="55" t="s">
        <v>196</v>
      </c>
      <c r="F3" s="55" t="s">
        <v>197</v>
      </c>
      <c r="G3" s="105" t="s">
        <v>198</v>
      </c>
      <c r="H3" s="142"/>
      <c r="I3" s="40" t="s">
        <v>200</v>
      </c>
      <c r="J3" s="41" t="s">
        <v>201</v>
      </c>
      <c r="K3" s="41" t="s">
        <v>202</v>
      </c>
      <c r="L3" s="41" t="s">
        <v>203</v>
      </c>
      <c r="M3" s="41" t="s">
        <v>477</v>
      </c>
      <c r="N3" s="41" t="s">
        <v>357</v>
      </c>
      <c r="O3" s="41" t="s">
        <v>358</v>
      </c>
      <c r="P3" s="41" t="s">
        <v>359</v>
      </c>
      <c r="Q3" s="41" t="s">
        <v>360</v>
      </c>
      <c r="R3" s="41" t="s">
        <v>361</v>
      </c>
      <c r="S3" s="41" t="s">
        <v>362</v>
      </c>
      <c r="T3" s="41" t="s">
        <v>363</v>
      </c>
      <c r="U3" s="40" t="s">
        <v>200</v>
      </c>
      <c r="V3" s="41" t="s">
        <v>201</v>
      </c>
      <c r="W3" s="41" t="s">
        <v>202</v>
      </c>
      <c r="X3" s="41" t="s">
        <v>203</v>
      </c>
      <c r="Y3" s="41" t="s">
        <v>477</v>
      </c>
      <c r="Z3" s="41" t="s">
        <v>357</v>
      </c>
      <c r="AA3" s="41" t="s">
        <v>358</v>
      </c>
      <c r="AB3" s="41" t="s">
        <v>359</v>
      </c>
      <c r="AC3" s="41" t="s">
        <v>360</v>
      </c>
      <c r="AD3" s="41" t="s">
        <v>361</v>
      </c>
      <c r="AE3" s="41" t="s">
        <v>362</v>
      </c>
      <c r="AF3" s="41" t="s">
        <v>363</v>
      </c>
      <c r="AG3" s="42" t="s">
        <v>200</v>
      </c>
      <c r="AH3" s="43" t="s">
        <v>201</v>
      </c>
      <c r="AI3" s="43" t="s">
        <v>202</v>
      </c>
      <c r="AJ3" s="43" t="s">
        <v>203</v>
      </c>
      <c r="AK3" s="43" t="s">
        <v>477</v>
      </c>
      <c r="AL3" s="43" t="s">
        <v>357</v>
      </c>
      <c r="AM3" s="43" t="s">
        <v>358</v>
      </c>
      <c r="AN3" s="43" t="s">
        <v>359</v>
      </c>
      <c r="AO3" s="43" t="s">
        <v>360</v>
      </c>
      <c r="AP3" s="43" t="s">
        <v>361</v>
      </c>
      <c r="AQ3" s="43" t="s">
        <v>362</v>
      </c>
      <c r="AR3" s="106" t="s">
        <v>363</v>
      </c>
    </row>
    <row r="4" spans="4:44" ht="13.5">
      <c r="D4" s="104"/>
      <c r="E4" s="26"/>
      <c r="F4" s="26"/>
      <c r="G4" s="107"/>
      <c r="H4" s="142"/>
      <c r="I4" s="32"/>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108"/>
    </row>
    <row r="5" spans="1:44" ht="12.75" customHeight="1">
      <c r="A5" s="60" t="s">
        <v>194</v>
      </c>
      <c r="B5" s="60"/>
      <c r="C5" s="103"/>
      <c r="D5" s="109"/>
      <c r="E5" s="23"/>
      <c r="F5" s="23"/>
      <c r="G5" s="110"/>
      <c r="H5" s="143"/>
      <c r="I5" s="111"/>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112"/>
    </row>
    <row r="6" spans="2:44" ht="13.5">
      <c r="B6" s="25" t="s">
        <v>311</v>
      </c>
      <c r="C6" s="113"/>
      <c r="D6" s="114">
        <f>D37</f>
        <v>300000</v>
      </c>
      <c r="E6" s="23"/>
      <c r="F6" s="23"/>
      <c r="G6" s="110"/>
      <c r="H6" s="143"/>
      <c r="I6" s="111"/>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112"/>
    </row>
    <row r="7" spans="2:44" ht="13.5">
      <c r="B7" s="25" t="s">
        <v>312</v>
      </c>
      <c r="C7" s="113"/>
      <c r="D7" s="114">
        <f>D38*Staffing!B89</f>
        <v>39000</v>
      </c>
      <c r="E7" s="23"/>
      <c r="F7" s="23"/>
      <c r="G7" s="110"/>
      <c r="H7" s="143"/>
      <c r="I7" s="111"/>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112"/>
    </row>
    <row r="8" spans="3:44" ht="13.5">
      <c r="C8" s="113"/>
      <c r="D8" s="114"/>
      <c r="E8" s="23"/>
      <c r="F8" s="23"/>
      <c r="G8" s="110"/>
      <c r="H8" s="143"/>
      <c r="I8" s="111"/>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112"/>
    </row>
    <row r="9" spans="1:44" ht="13.5">
      <c r="A9" s="146" t="s">
        <v>191</v>
      </c>
      <c r="B9" s="103"/>
      <c r="C9" s="103"/>
      <c r="D9" s="109"/>
      <c r="E9" s="23"/>
      <c r="F9" s="23"/>
      <c r="G9" s="110"/>
      <c r="H9" s="143"/>
      <c r="I9" s="111"/>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112"/>
    </row>
    <row r="10" spans="1:44" s="26" customFormat="1" ht="13.5">
      <c r="A10" s="46"/>
      <c r="B10" s="45" t="s">
        <v>237</v>
      </c>
      <c r="D10" s="109"/>
      <c r="E10" s="23">
        <f>Staffing!K65</f>
        <v>1156250</v>
      </c>
      <c r="F10" s="23">
        <f>Staffing!L65</f>
        <v>3051562.5</v>
      </c>
      <c r="G10" s="110">
        <f>Staffing!M65</f>
        <v>3650062.5</v>
      </c>
      <c r="H10" s="144"/>
      <c r="I10" s="111">
        <f>Staffing!AZ65</f>
        <v>0</v>
      </c>
      <c r="J10" s="23">
        <f>Staffing!BA65</f>
        <v>0</v>
      </c>
      <c r="K10" s="23">
        <f>Staffing!BB65</f>
        <v>0</v>
      </c>
      <c r="L10" s="23">
        <f>Staffing!BC65</f>
        <v>23437.5</v>
      </c>
      <c r="M10" s="23">
        <f>Staffing!BD65</f>
        <v>46875</v>
      </c>
      <c r="N10" s="23">
        <f>Staffing!BE65</f>
        <v>78125</v>
      </c>
      <c r="O10" s="23">
        <f>Staffing!BF65</f>
        <v>109375</v>
      </c>
      <c r="P10" s="23">
        <f>Staffing!BG65</f>
        <v>140625</v>
      </c>
      <c r="Q10" s="23">
        <f>Staffing!BH65</f>
        <v>164062.5</v>
      </c>
      <c r="R10" s="23">
        <f>Staffing!BI65</f>
        <v>187500</v>
      </c>
      <c r="S10" s="23">
        <f>Staffing!BJ65</f>
        <v>203125</v>
      </c>
      <c r="T10" s="23">
        <f>Staffing!BK65</f>
        <v>203125</v>
      </c>
      <c r="U10" s="23">
        <f>Staffing!BL65</f>
        <v>254296.875</v>
      </c>
      <c r="V10" s="23">
        <f>Staffing!BM65</f>
        <v>254296.875</v>
      </c>
      <c r="W10" s="23">
        <f>Staffing!BN65</f>
        <v>254296.875</v>
      </c>
      <c r="X10" s="23">
        <f>Staffing!BO65</f>
        <v>254296.875</v>
      </c>
      <c r="Y10" s="23">
        <f>Staffing!BP65</f>
        <v>254296.875</v>
      </c>
      <c r="Z10" s="23">
        <f>Staffing!BQ65</f>
        <v>254296.875</v>
      </c>
      <c r="AA10" s="23">
        <f>Staffing!BR65</f>
        <v>254296.875</v>
      </c>
      <c r="AB10" s="23">
        <f>Staffing!BS65</f>
        <v>254296.875</v>
      </c>
      <c r="AC10" s="23">
        <f>Staffing!BT65</f>
        <v>254296.875</v>
      </c>
      <c r="AD10" s="23">
        <f>Staffing!BU65</f>
        <v>254296.875</v>
      </c>
      <c r="AE10" s="23">
        <f>Staffing!BV65</f>
        <v>254296.875</v>
      </c>
      <c r="AF10" s="23">
        <f>Staffing!BW65</f>
        <v>254296.875</v>
      </c>
      <c r="AG10" s="23">
        <f>Staffing!BX65</f>
        <v>304171.875</v>
      </c>
      <c r="AH10" s="23">
        <f>Staffing!BY65</f>
        <v>304171.875</v>
      </c>
      <c r="AI10" s="23">
        <f>Staffing!BZ65</f>
        <v>304171.875</v>
      </c>
      <c r="AJ10" s="23">
        <f>Staffing!CA65</f>
        <v>304171.875</v>
      </c>
      <c r="AK10" s="23">
        <f>Staffing!CB65</f>
        <v>304171.875</v>
      </c>
      <c r="AL10" s="23">
        <f>Staffing!CC65</f>
        <v>304171.875</v>
      </c>
      <c r="AM10" s="23">
        <f>Staffing!CD65</f>
        <v>304171.875</v>
      </c>
      <c r="AN10" s="23">
        <f>Staffing!CE65</f>
        <v>304171.875</v>
      </c>
      <c r="AO10" s="23">
        <f>Staffing!CF65</f>
        <v>304171.875</v>
      </c>
      <c r="AP10" s="23">
        <f>Staffing!CG65</f>
        <v>304171.875</v>
      </c>
      <c r="AQ10" s="23">
        <f>Staffing!CH65</f>
        <v>304171.875</v>
      </c>
      <c r="AR10" s="112">
        <f>Staffing!CI65</f>
        <v>304171.875</v>
      </c>
    </row>
    <row r="11" spans="1:44" s="26" customFormat="1" ht="13.5">
      <c r="A11" s="46"/>
      <c r="B11" s="45" t="s">
        <v>313</v>
      </c>
      <c r="D11" s="109"/>
      <c r="E11" s="23">
        <f>Staffing!K79</f>
        <v>226562.5</v>
      </c>
      <c r="F11" s="23">
        <f>Staffing!L79</f>
        <v>492187.5</v>
      </c>
      <c r="G11" s="110">
        <f>Staffing!M79</f>
        <v>506953.125</v>
      </c>
      <c r="H11" s="144"/>
      <c r="I11" s="111">
        <f>Staffing!AZ79</f>
        <v>7812.5</v>
      </c>
      <c r="J11" s="23">
        <f>Staffing!BA79</f>
        <v>7812.5</v>
      </c>
      <c r="K11" s="23">
        <f>Staffing!BB79</f>
        <v>7812.5</v>
      </c>
      <c r="L11" s="23">
        <f>Staffing!BC79</f>
        <v>15625</v>
      </c>
      <c r="M11" s="23">
        <f>Staffing!BD79</f>
        <v>15625</v>
      </c>
      <c r="N11" s="23">
        <f>Staffing!BE79</f>
        <v>15625</v>
      </c>
      <c r="O11" s="23">
        <f>Staffing!BF79</f>
        <v>23437.5</v>
      </c>
      <c r="P11" s="23">
        <f>Staffing!BG79</f>
        <v>23437.5</v>
      </c>
      <c r="Q11" s="23">
        <f>Staffing!BH79</f>
        <v>23437.5</v>
      </c>
      <c r="R11" s="23">
        <f>Staffing!BI79</f>
        <v>23437.5</v>
      </c>
      <c r="S11" s="23">
        <f>Staffing!BJ79</f>
        <v>31250</v>
      </c>
      <c r="T11" s="23">
        <f>Staffing!BK79</f>
        <v>31250</v>
      </c>
      <c r="U11" s="23">
        <f>Staffing!BL79</f>
        <v>41015.625</v>
      </c>
      <c r="V11" s="23">
        <f>Staffing!BM79</f>
        <v>41015.625</v>
      </c>
      <c r="W11" s="23">
        <f>Staffing!BN79</f>
        <v>41015.625</v>
      </c>
      <c r="X11" s="23">
        <f>Staffing!BO79</f>
        <v>41015.625</v>
      </c>
      <c r="Y11" s="23">
        <f>Staffing!BP79</f>
        <v>41015.625</v>
      </c>
      <c r="Z11" s="23">
        <f>Staffing!BQ79</f>
        <v>41015.625</v>
      </c>
      <c r="AA11" s="23">
        <f>Staffing!BR79</f>
        <v>41015.625</v>
      </c>
      <c r="AB11" s="23">
        <f>Staffing!BS79</f>
        <v>41015.625</v>
      </c>
      <c r="AC11" s="23">
        <f>Staffing!BT79</f>
        <v>41015.625</v>
      </c>
      <c r="AD11" s="23">
        <f>Staffing!BU79</f>
        <v>41015.625</v>
      </c>
      <c r="AE11" s="23">
        <f>Staffing!BV79</f>
        <v>41015.625</v>
      </c>
      <c r="AF11" s="23">
        <f>Staffing!BW79</f>
        <v>41015.625</v>
      </c>
      <c r="AG11" s="23">
        <f>Staffing!BX79</f>
        <v>42246.09375</v>
      </c>
      <c r="AH11" s="23">
        <f>Staffing!BY79</f>
        <v>42246.09375</v>
      </c>
      <c r="AI11" s="23">
        <f>Staffing!BZ79</f>
        <v>42246.09375</v>
      </c>
      <c r="AJ11" s="23">
        <f>Staffing!CA79</f>
        <v>42246.09375</v>
      </c>
      <c r="AK11" s="23">
        <f>Staffing!CB79</f>
        <v>42246.09375</v>
      </c>
      <c r="AL11" s="23">
        <f>Staffing!CC79</f>
        <v>42246.09375</v>
      </c>
      <c r="AM11" s="23">
        <f>Staffing!CD79</f>
        <v>42246.09375</v>
      </c>
      <c r="AN11" s="23">
        <f>Staffing!CE79</f>
        <v>42246.09375</v>
      </c>
      <c r="AO11" s="23">
        <f>Staffing!CF79</f>
        <v>42246.09375</v>
      </c>
      <c r="AP11" s="23">
        <f>Staffing!CG79</f>
        <v>42246.09375</v>
      </c>
      <c r="AQ11" s="23">
        <f>Staffing!CH79</f>
        <v>42246.09375</v>
      </c>
      <c r="AR11" s="112">
        <f>Staffing!CI79</f>
        <v>42246.09375</v>
      </c>
    </row>
    <row r="12" spans="1:44" s="52" customFormat="1" ht="13.5">
      <c r="A12" s="51"/>
      <c r="B12" s="34" t="s">
        <v>253</v>
      </c>
      <c r="D12" s="115"/>
      <c r="E12" s="116">
        <f>Staffing!K86</f>
        <v>268125</v>
      </c>
      <c r="F12" s="116">
        <f>Staffing!L86</f>
        <v>301275</v>
      </c>
      <c r="G12" s="117">
        <f>Staffing!M86</f>
        <v>310313.25000000006</v>
      </c>
      <c r="H12" s="145"/>
      <c r="I12" s="118">
        <f>Staffing!AZ86</f>
        <v>16250</v>
      </c>
      <c r="J12" s="116">
        <f>Staffing!BA86</f>
        <v>16250</v>
      </c>
      <c r="K12" s="116">
        <f>Staffing!BB86</f>
        <v>16250</v>
      </c>
      <c r="L12" s="116">
        <f>Staffing!BC86</f>
        <v>24375</v>
      </c>
      <c r="M12" s="116">
        <f>Staffing!BD86</f>
        <v>24375</v>
      </c>
      <c r="N12" s="116">
        <f>Staffing!BE86</f>
        <v>24375</v>
      </c>
      <c r="O12" s="116">
        <f>Staffing!BF86</f>
        <v>24375</v>
      </c>
      <c r="P12" s="116">
        <f>Staffing!BG86</f>
        <v>24375</v>
      </c>
      <c r="Q12" s="116">
        <f>Staffing!BH86</f>
        <v>24375</v>
      </c>
      <c r="R12" s="116">
        <f>Staffing!BI86</f>
        <v>24375</v>
      </c>
      <c r="S12" s="116">
        <f>Staffing!BJ86</f>
        <v>24375</v>
      </c>
      <c r="T12" s="116">
        <f>Staffing!BK86</f>
        <v>24375</v>
      </c>
      <c r="U12" s="116">
        <f>Staffing!BL86</f>
        <v>25106.25</v>
      </c>
      <c r="V12" s="116">
        <f>Staffing!BM86</f>
        <v>25106.25</v>
      </c>
      <c r="W12" s="116">
        <f>Staffing!BN86</f>
        <v>25106.25</v>
      </c>
      <c r="X12" s="116">
        <f>Staffing!BO86</f>
        <v>25106.25</v>
      </c>
      <c r="Y12" s="116">
        <f>Staffing!BP86</f>
        <v>25106.25</v>
      </c>
      <c r="Z12" s="116">
        <f>Staffing!BQ86</f>
        <v>25106.25</v>
      </c>
      <c r="AA12" s="116">
        <f>Staffing!BR86</f>
        <v>25106.25</v>
      </c>
      <c r="AB12" s="116">
        <f>Staffing!BS86</f>
        <v>25106.25</v>
      </c>
      <c r="AC12" s="116">
        <f>Staffing!BT86</f>
        <v>25106.25</v>
      </c>
      <c r="AD12" s="116">
        <f>Staffing!BU86</f>
        <v>25106.25</v>
      </c>
      <c r="AE12" s="116">
        <f>Staffing!BV86</f>
        <v>25106.25</v>
      </c>
      <c r="AF12" s="116">
        <f>Staffing!BW86</f>
        <v>25106.25</v>
      </c>
      <c r="AG12" s="116">
        <f>Staffing!BX86</f>
        <v>25859.4375</v>
      </c>
      <c r="AH12" s="116">
        <f>Staffing!BY86</f>
        <v>25859.4375</v>
      </c>
      <c r="AI12" s="116">
        <f>Staffing!BZ86</f>
        <v>25859.4375</v>
      </c>
      <c r="AJ12" s="116">
        <f>Staffing!CA86</f>
        <v>25859.4375</v>
      </c>
      <c r="AK12" s="116">
        <f>Staffing!CB86</f>
        <v>25859.4375</v>
      </c>
      <c r="AL12" s="116">
        <f>Staffing!CC86</f>
        <v>25859.4375</v>
      </c>
      <c r="AM12" s="116">
        <f>Staffing!CD86</f>
        <v>25859.4375</v>
      </c>
      <c r="AN12" s="116">
        <f>Staffing!CE86</f>
        <v>25859.4375</v>
      </c>
      <c r="AO12" s="116">
        <f>Staffing!CF86</f>
        <v>25859.4375</v>
      </c>
      <c r="AP12" s="116">
        <f>Staffing!CG86</f>
        <v>25859.4375</v>
      </c>
      <c r="AQ12" s="116">
        <f>Staffing!CH86</f>
        <v>25859.4375</v>
      </c>
      <c r="AR12" s="119">
        <f>Staffing!CI86</f>
        <v>25859.4375</v>
      </c>
    </row>
    <row r="13" spans="1:44" ht="13.5">
      <c r="A13" s="50" t="s">
        <v>192</v>
      </c>
      <c r="D13" s="109"/>
      <c r="E13" s="120">
        <f>SUM(E10:E12)</f>
        <v>1650937.5</v>
      </c>
      <c r="F13" s="120">
        <f>SUM(F10:F12)</f>
        <v>3845025</v>
      </c>
      <c r="G13" s="121">
        <f>SUM(G10:G12)</f>
        <v>4467328.875</v>
      </c>
      <c r="H13" s="143"/>
      <c r="I13" s="122">
        <f>SUM(I10:I12)</f>
        <v>24062.5</v>
      </c>
      <c r="J13" s="23">
        <f aca="true" t="shared" si="0" ref="J13:AP13">SUM(J10:J12)</f>
        <v>24062.5</v>
      </c>
      <c r="K13" s="23">
        <f t="shared" si="0"/>
        <v>24062.5</v>
      </c>
      <c r="L13" s="23">
        <f t="shared" si="0"/>
        <v>63437.5</v>
      </c>
      <c r="M13" s="23">
        <f t="shared" si="0"/>
        <v>86875</v>
      </c>
      <c r="N13" s="23">
        <f t="shared" si="0"/>
        <v>118125</v>
      </c>
      <c r="O13" s="23">
        <f t="shared" si="0"/>
        <v>157187.5</v>
      </c>
      <c r="P13" s="23">
        <f t="shared" si="0"/>
        <v>188437.5</v>
      </c>
      <c r="Q13" s="23">
        <f t="shared" si="0"/>
        <v>211875</v>
      </c>
      <c r="R13" s="23">
        <f t="shared" si="0"/>
        <v>235312.5</v>
      </c>
      <c r="S13" s="23">
        <f t="shared" si="0"/>
        <v>258750</v>
      </c>
      <c r="T13" s="23">
        <f t="shared" si="0"/>
        <v>258750</v>
      </c>
      <c r="U13" s="23">
        <f t="shared" si="0"/>
        <v>320418.75</v>
      </c>
      <c r="V13" s="23">
        <f t="shared" si="0"/>
        <v>320418.75</v>
      </c>
      <c r="W13" s="23">
        <f t="shared" si="0"/>
        <v>320418.75</v>
      </c>
      <c r="X13" s="23">
        <f t="shared" si="0"/>
        <v>320418.75</v>
      </c>
      <c r="Y13" s="23">
        <f t="shared" si="0"/>
        <v>320418.75</v>
      </c>
      <c r="Z13" s="23">
        <f t="shared" si="0"/>
        <v>320418.75</v>
      </c>
      <c r="AA13" s="23">
        <f t="shared" si="0"/>
        <v>320418.75</v>
      </c>
      <c r="AB13" s="23">
        <f t="shared" si="0"/>
        <v>320418.75</v>
      </c>
      <c r="AC13" s="23">
        <f t="shared" si="0"/>
        <v>320418.75</v>
      </c>
      <c r="AD13" s="23">
        <f t="shared" si="0"/>
        <v>320418.75</v>
      </c>
      <c r="AE13" s="23">
        <f t="shared" si="0"/>
        <v>320418.75</v>
      </c>
      <c r="AF13" s="23">
        <f t="shared" si="0"/>
        <v>320418.75</v>
      </c>
      <c r="AG13" s="23">
        <f t="shared" si="0"/>
        <v>372277.40625</v>
      </c>
      <c r="AH13" s="23">
        <f t="shared" si="0"/>
        <v>372277.40625</v>
      </c>
      <c r="AI13" s="23">
        <f t="shared" si="0"/>
        <v>372277.40625</v>
      </c>
      <c r="AJ13" s="23">
        <f t="shared" si="0"/>
        <v>372277.40625</v>
      </c>
      <c r="AK13" s="23">
        <f t="shared" si="0"/>
        <v>372277.40625</v>
      </c>
      <c r="AL13" s="23">
        <f t="shared" si="0"/>
        <v>372277.40625</v>
      </c>
      <c r="AM13" s="23">
        <f t="shared" si="0"/>
        <v>372277.40625</v>
      </c>
      <c r="AN13" s="23">
        <f t="shared" si="0"/>
        <v>372277.40625</v>
      </c>
      <c r="AO13" s="23">
        <f t="shared" si="0"/>
        <v>372277.40625</v>
      </c>
      <c r="AP13" s="23">
        <f t="shared" si="0"/>
        <v>372277.40625</v>
      </c>
      <c r="AQ13" s="23">
        <f>SUM(AQ10:AQ12)</f>
        <v>372277.40625</v>
      </c>
      <c r="AR13" s="112">
        <f>SUM(AR10:AR12)</f>
        <v>372277.40625</v>
      </c>
    </row>
    <row r="14" spans="1:44" ht="13.5">
      <c r="A14" s="46"/>
      <c r="D14" s="109"/>
      <c r="E14" s="23"/>
      <c r="F14" s="23"/>
      <c r="G14" s="110"/>
      <c r="H14" s="143"/>
      <c r="I14" s="111"/>
      <c r="J14" s="23"/>
      <c r="K14" s="23"/>
      <c r="L14" s="23"/>
      <c r="M14" s="23"/>
      <c r="N14" s="23"/>
      <c r="O14" s="23"/>
      <c r="P14" s="23"/>
      <c r="Q14" s="23"/>
      <c r="R14" s="23"/>
      <c r="S14" s="23"/>
      <c r="T14" s="23">
        <f>SUM(I13:T13)</f>
        <v>1650937.5</v>
      </c>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112"/>
    </row>
    <row r="15" spans="1:44" ht="13.5">
      <c r="A15" s="146" t="s">
        <v>406</v>
      </c>
      <c r="B15" s="103"/>
      <c r="C15" s="103"/>
      <c r="D15" s="109"/>
      <c r="E15" s="23"/>
      <c r="F15" s="23"/>
      <c r="G15" s="110"/>
      <c r="H15" s="143"/>
      <c r="I15" s="111"/>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112"/>
    </row>
    <row r="16" spans="2:44" s="52" customFormat="1" ht="13.5">
      <c r="B16" s="34" t="s">
        <v>314</v>
      </c>
      <c r="D16" s="115"/>
      <c r="E16" s="116">
        <f>E41*E42</f>
        <v>400000</v>
      </c>
      <c r="F16" s="116">
        <f>F41*F42</f>
        <v>400000</v>
      </c>
      <c r="G16" s="117">
        <f>G41*G42</f>
        <v>400000</v>
      </c>
      <c r="H16" s="145"/>
      <c r="I16" s="118">
        <f>E16/12</f>
        <v>33333.333333333336</v>
      </c>
      <c r="J16" s="116">
        <f aca="true" t="shared" si="1" ref="J16:T16">$E$16/12</f>
        <v>33333.333333333336</v>
      </c>
      <c r="K16" s="116">
        <f t="shared" si="1"/>
        <v>33333.333333333336</v>
      </c>
      <c r="L16" s="116">
        <f t="shared" si="1"/>
        <v>33333.333333333336</v>
      </c>
      <c r="M16" s="116">
        <f t="shared" si="1"/>
        <v>33333.333333333336</v>
      </c>
      <c r="N16" s="116">
        <f t="shared" si="1"/>
        <v>33333.333333333336</v>
      </c>
      <c r="O16" s="116">
        <f t="shared" si="1"/>
        <v>33333.333333333336</v>
      </c>
      <c r="P16" s="116">
        <f t="shared" si="1"/>
        <v>33333.333333333336</v>
      </c>
      <c r="Q16" s="116">
        <f t="shared" si="1"/>
        <v>33333.333333333336</v>
      </c>
      <c r="R16" s="116">
        <f t="shared" si="1"/>
        <v>33333.333333333336</v>
      </c>
      <c r="S16" s="116">
        <f t="shared" si="1"/>
        <v>33333.333333333336</v>
      </c>
      <c r="T16" s="116">
        <f t="shared" si="1"/>
        <v>33333.333333333336</v>
      </c>
      <c r="U16" s="116">
        <f aca="true" t="shared" si="2" ref="U16:AF16">$F$16/12</f>
        <v>33333.333333333336</v>
      </c>
      <c r="V16" s="116">
        <f t="shared" si="2"/>
        <v>33333.333333333336</v>
      </c>
      <c r="W16" s="116">
        <f t="shared" si="2"/>
        <v>33333.333333333336</v>
      </c>
      <c r="X16" s="116">
        <f t="shared" si="2"/>
        <v>33333.333333333336</v>
      </c>
      <c r="Y16" s="116">
        <f t="shared" si="2"/>
        <v>33333.333333333336</v>
      </c>
      <c r="Z16" s="116">
        <f t="shared" si="2"/>
        <v>33333.333333333336</v>
      </c>
      <c r="AA16" s="116">
        <f t="shared" si="2"/>
        <v>33333.333333333336</v>
      </c>
      <c r="AB16" s="116">
        <f t="shared" si="2"/>
        <v>33333.333333333336</v>
      </c>
      <c r="AC16" s="116">
        <f t="shared" si="2"/>
        <v>33333.333333333336</v>
      </c>
      <c r="AD16" s="116">
        <f t="shared" si="2"/>
        <v>33333.333333333336</v>
      </c>
      <c r="AE16" s="116">
        <f t="shared" si="2"/>
        <v>33333.333333333336</v>
      </c>
      <c r="AF16" s="116">
        <f t="shared" si="2"/>
        <v>33333.333333333336</v>
      </c>
      <c r="AG16" s="116">
        <f aca="true" t="shared" si="3" ref="AG16:AR16">$G$16/12</f>
        <v>33333.333333333336</v>
      </c>
      <c r="AH16" s="116">
        <f t="shared" si="3"/>
        <v>33333.333333333336</v>
      </c>
      <c r="AI16" s="116">
        <f t="shared" si="3"/>
        <v>33333.333333333336</v>
      </c>
      <c r="AJ16" s="116">
        <f t="shared" si="3"/>
        <v>33333.333333333336</v>
      </c>
      <c r="AK16" s="116">
        <f t="shared" si="3"/>
        <v>33333.333333333336</v>
      </c>
      <c r="AL16" s="116">
        <f t="shared" si="3"/>
        <v>33333.333333333336</v>
      </c>
      <c r="AM16" s="116">
        <f t="shared" si="3"/>
        <v>33333.333333333336</v>
      </c>
      <c r="AN16" s="116">
        <f t="shared" si="3"/>
        <v>33333.333333333336</v>
      </c>
      <c r="AO16" s="116">
        <f t="shared" si="3"/>
        <v>33333.333333333336</v>
      </c>
      <c r="AP16" s="116">
        <f t="shared" si="3"/>
        <v>33333.333333333336</v>
      </c>
      <c r="AQ16" s="116">
        <f t="shared" si="3"/>
        <v>33333.333333333336</v>
      </c>
      <c r="AR16" s="119">
        <f t="shared" si="3"/>
        <v>33333.333333333336</v>
      </c>
    </row>
    <row r="17" spans="1:44" ht="13.5">
      <c r="A17" s="25" t="s">
        <v>192</v>
      </c>
      <c r="D17" s="109"/>
      <c r="E17" s="23">
        <f>SUM(E16:E16)</f>
        <v>400000</v>
      </c>
      <c r="F17" s="23">
        <f>SUM(F16:F16)</f>
        <v>400000</v>
      </c>
      <c r="G17" s="110">
        <f>SUM(G16:G16)</f>
        <v>400000</v>
      </c>
      <c r="H17" s="143"/>
      <c r="I17" s="111">
        <f aca="true" t="shared" si="4" ref="I17:AR17">SUM(I16:I16)</f>
        <v>33333.333333333336</v>
      </c>
      <c r="J17" s="23">
        <f t="shared" si="4"/>
        <v>33333.333333333336</v>
      </c>
      <c r="K17" s="23">
        <f t="shared" si="4"/>
        <v>33333.333333333336</v>
      </c>
      <c r="L17" s="23">
        <f t="shared" si="4"/>
        <v>33333.333333333336</v>
      </c>
      <c r="M17" s="23">
        <f t="shared" si="4"/>
        <v>33333.333333333336</v>
      </c>
      <c r="N17" s="23">
        <f t="shared" si="4"/>
        <v>33333.333333333336</v>
      </c>
      <c r="O17" s="23">
        <f t="shared" si="4"/>
        <v>33333.333333333336</v>
      </c>
      <c r="P17" s="23">
        <f t="shared" si="4"/>
        <v>33333.333333333336</v>
      </c>
      <c r="Q17" s="23">
        <f t="shared" si="4"/>
        <v>33333.333333333336</v>
      </c>
      <c r="R17" s="23">
        <f t="shared" si="4"/>
        <v>33333.333333333336</v>
      </c>
      <c r="S17" s="23">
        <f t="shared" si="4"/>
        <v>33333.333333333336</v>
      </c>
      <c r="T17" s="23">
        <f t="shared" si="4"/>
        <v>33333.333333333336</v>
      </c>
      <c r="U17" s="23">
        <f t="shared" si="4"/>
        <v>33333.333333333336</v>
      </c>
      <c r="V17" s="23">
        <f t="shared" si="4"/>
        <v>33333.333333333336</v>
      </c>
      <c r="W17" s="23">
        <f t="shared" si="4"/>
        <v>33333.333333333336</v>
      </c>
      <c r="X17" s="23">
        <f t="shared" si="4"/>
        <v>33333.333333333336</v>
      </c>
      <c r="Y17" s="23">
        <f t="shared" si="4"/>
        <v>33333.333333333336</v>
      </c>
      <c r="Z17" s="23">
        <f t="shared" si="4"/>
        <v>33333.333333333336</v>
      </c>
      <c r="AA17" s="23">
        <f t="shared" si="4"/>
        <v>33333.333333333336</v>
      </c>
      <c r="AB17" s="23">
        <f t="shared" si="4"/>
        <v>33333.333333333336</v>
      </c>
      <c r="AC17" s="23">
        <f t="shared" si="4"/>
        <v>33333.333333333336</v>
      </c>
      <c r="AD17" s="23">
        <f t="shared" si="4"/>
        <v>33333.333333333336</v>
      </c>
      <c r="AE17" s="23">
        <f t="shared" si="4"/>
        <v>33333.333333333336</v>
      </c>
      <c r="AF17" s="23">
        <f t="shared" si="4"/>
        <v>33333.333333333336</v>
      </c>
      <c r="AG17" s="23">
        <f t="shared" si="4"/>
        <v>33333.333333333336</v>
      </c>
      <c r="AH17" s="23">
        <f t="shared" si="4"/>
        <v>33333.333333333336</v>
      </c>
      <c r="AI17" s="23">
        <f t="shared" si="4"/>
        <v>33333.333333333336</v>
      </c>
      <c r="AJ17" s="23">
        <f t="shared" si="4"/>
        <v>33333.333333333336</v>
      </c>
      <c r="AK17" s="23">
        <f t="shared" si="4"/>
        <v>33333.333333333336</v>
      </c>
      <c r="AL17" s="23">
        <f t="shared" si="4"/>
        <v>33333.333333333336</v>
      </c>
      <c r="AM17" s="23">
        <f t="shared" si="4"/>
        <v>33333.333333333336</v>
      </c>
      <c r="AN17" s="23">
        <f t="shared" si="4"/>
        <v>33333.333333333336</v>
      </c>
      <c r="AO17" s="23">
        <f t="shared" si="4"/>
        <v>33333.333333333336</v>
      </c>
      <c r="AP17" s="23">
        <f t="shared" si="4"/>
        <v>33333.333333333336</v>
      </c>
      <c r="AQ17" s="23">
        <f t="shared" si="4"/>
        <v>33333.333333333336</v>
      </c>
      <c r="AR17" s="112">
        <f t="shared" si="4"/>
        <v>33333.333333333336</v>
      </c>
    </row>
    <row r="18" spans="4:44" ht="13.5">
      <c r="D18" s="109"/>
      <c r="E18" s="23"/>
      <c r="F18" s="23"/>
      <c r="G18" s="110"/>
      <c r="H18" s="143"/>
      <c r="I18" s="111"/>
      <c r="J18" s="23"/>
      <c r="K18" s="23"/>
      <c r="L18" s="23"/>
      <c r="M18" s="23"/>
      <c r="N18" s="23"/>
      <c r="O18" s="23"/>
      <c r="P18" s="23"/>
      <c r="Q18" s="23"/>
      <c r="R18" s="23"/>
      <c r="S18" s="23"/>
      <c r="T18" s="23">
        <f>SUM(I17:T17)</f>
        <v>399999.99999999994</v>
      </c>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112"/>
    </row>
    <row r="19" spans="1:44" ht="13.5">
      <c r="A19" s="103" t="s">
        <v>241</v>
      </c>
      <c r="B19" s="103"/>
      <c r="C19" s="103"/>
      <c r="D19" s="109"/>
      <c r="E19" s="23"/>
      <c r="F19" s="23"/>
      <c r="G19" s="110"/>
      <c r="H19" s="143"/>
      <c r="I19" s="111"/>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112"/>
    </row>
    <row r="20" spans="2:44" s="26" customFormat="1" ht="13.5">
      <c r="B20" s="45" t="s">
        <v>322</v>
      </c>
      <c r="D20" s="109"/>
      <c r="E20" s="23">
        <f>Staffing!K72</f>
        <v>468750</v>
      </c>
      <c r="F20" s="23">
        <f>Staffing!L72</f>
        <v>787500</v>
      </c>
      <c r="G20" s="110">
        <f>Staffing!M72</f>
        <v>1013906.25</v>
      </c>
      <c r="H20" s="144"/>
      <c r="I20" s="111">
        <f>Staffing!AZ72</f>
        <v>7812.5</v>
      </c>
      <c r="J20" s="23">
        <f>Staffing!BA72</f>
        <v>15625</v>
      </c>
      <c r="K20" s="23">
        <f>Staffing!BB72</f>
        <v>23437.5</v>
      </c>
      <c r="L20" s="23">
        <f>Staffing!BC72</f>
        <v>46875</v>
      </c>
      <c r="M20" s="23">
        <f>Staffing!BD72</f>
        <v>46875</v>
      </c>
      <c r="N20" s="23">
        <f>Staffing!BE72</f>
        <v>46875</v>
      </c>
      <c r="O20" s="23">
        <f>Staffing!BF72</f>
        <v>46875</v>
      </c>
      <c r="P20" s="23">
        <f>Staffing!BG72</f>
        <v>46875</v>
      </c>
      <c r="Q20" s="23">
        <f>Staffing!BH72</f>
        <v>46875</v>
      </c>
      <c r="R20" s="23">
        <f>Staffing!BI72</f>
        <v>46875</v>
      </c>
      <c r="S20" s="23">
        <f>Staffing!BJ72</f>
        <v>46875</v>
      </c>
      <c r="T20" s="23">
        <f>Staffing!BK72</f>
        <v>46875</v>
      </c>
      <c r="U20" s="23">
        <f>Staffing!BL72</f>
        <v>65625</v>
      </c>
      <c r="V20" s="23">
        <f>Staffing!BM72</f>
        <v>65625</v>
      </c>
      <c r="W20" s="23">
        <f>Staffing!BN72</f>
        <v>65625</v>
      </c>
      <c r="X20" s="23">
        <f>Staffing!BO72</f>
        <v>65625</v>
      </c>
      <c r="Y20" s="23">
        <f>Staffing!BP72</f>
        <v>65625</v>
      </c>
      <c r="Z20" s="23">
        <f>Staffing!BQ72</f>
        <v>65625</v>
      </c>
      <c r="AA20" s="23">
        <f>Staffing!BR72</f>
        <v>65625</v>
      </c>
      <c r="AB20" s="23">
        <f>Staffing!BS72</f>
        <v>65625</v>
      </c>
      <c r="AC20" s="23">
        <f>Staffing!BT72</f>
        <v>65625</v>
      </c>
      <c r="AD20" s="23">
        <f>Staffing!BU72</f>
        <v>65625</v>
      </c>
      <c r="AE20" s="23">
        <f>Staffing!BV72</f>
        <v>65625</v>
      </c>
      <c r="AF20" s="23">
        <f>Staffing!BW72</f>
        <v>65625</v>
      </c>
      <c r="AG20" s="23">
        <f>Staffing!BX72</f>
        <v>84492.1875</v>
      </c>
      <c r="AH20" s="23">
        <f>Staffing!BY72</f>
        <v>84492.1875</v>
      </c>
      <c r="AI20" s="23">
        <f>Staffing!BZ72</f>
        <v>84492.1875</v>
      </c>
      <c r="AJ20" s="23">
        <f>Staffing!CA72</f>
        <v>84492.1875</v>
      </c>
      <c r="AK20" s="23">
        <f>Staffing!CB72</f>
        <v>84492.1875</v>
      </c>
      <c r="AL20" s="23">
        <f>Staffing!CC72</f>
        <v>84492.1875</v>
      </c>
      <c r="AM20" s="23">
        <f>Staffing!CD72</f>
        <v>84492.1875</v>
      </c>
      <c r="AN20" s="23">
        <f>Staffing!CE72</f>
        <v>84492.1875</v>
      </c>
      <c r="AO20" s="23">
        <f>Staffing!CF72</f>
        <v>84492.1875</v>
      </c>
      <c r="AP20" s="23">
        <f>Staffing!CG72</f>
        <v>84492.1875</v>
      </c>
      <c r="AQ20" s="23">
        <f>Staffing!CH72</f>
        <v>84492.1875</v>
      </c>
      <c r="AR20" s="112">
        <f>Staffing!CI72</f>
        <v>84492.1875</v>
      </c>
    </row>
    <row r="21" spans="2:44" s="26" customFormat="1" ht="13.5">
      <c r="B21" s="45" t="s">
        <v>315</v>
      </c>
      <c r="D21" s="109"/>
      <c r="E21" s="23">
        <f>E44</f>
        <v>25000</v>
      </c>
      <c r="F21" s="23">
        <f>F44</f>
        <v>25000</v>
      </c>
      <c r="G21" s="110">
        <f>G44</f>
        <v>25000</v>
      </c>
      <c r="H21" s="144"/>
      <c r="I21" s="111">
        <f>$E$21/12</f>
        <v>2083.3333333333335</v>
      </c>
      <c r="J21" s="23">
        <f>$E$21/12</f>
        <v>2083.3333333333335</v>
      </c>
      <c r="K21" s="23">
        <f aca="true" t="shared" si="5" ref="K21:T21">$E$21/12</f>
        <v>2083.3333333333335</v>
      </c>
      <c r="L21" s="23">
        <f t="shared" si="5"/>
        <v>2083.3333333333335</v>
      </c>
      <c r="M21" s="23">
        <f t="shared" si="5"/>
        <v>2083.3333333333335</v>
      </c>
      <c r="N21" s="23">
        <f t="shared" si="5"/>
        <v>2083.3333333333335</v>
      </c>
      <c r="O21" s="23">
        <f t="shared" si="5"/>
        <v>2083.3333333333335</v>
      </c>
      <c r="P21" s="23">
        <f t="shared" si="5"/>
        <v>2083.3333333333335</v>
      </c>
      <c r="Q21" s="23">
        <f t="shared" si="5"/>
        <v>2083.3333333333335</v>
      </c>
      <c r="R21" s="23">
        <f t="shared" si="5"/>
        <v>2083.3333333333335</v>
      </c>
      <c r="S21" s="23">
        <f t="shared" si="5"/>
        <v>2083.3333333333335</v>
      </c>
      <c r="T21" s="23">
        <f t="shared" si="5"/>
        <v>2083.3333333333335</v>
      </c>
      <c r="U21" s="23">
        <f>$F$21/12</f>
        <v>2083.3333333333335</v>
      </c>
      <c r="V21" s="23">
        <f aca="true" t="shared" si="6" ref="V21:AF21">$F$21/12</f>
        <v>2083.3333333333335</v>
      </c>
      <c r="W21" s="23">
        <f t="shared" si="6"/>
        <v>2083.3333333333335</v>
      </c>
      <c r="X21" s="23">
        <f t="shared" si="6"/>
        <v>2083.3333333333335</v>
      </c>
      <c r="Y21" s="23">
        <f t="shared" si="6"/>
        <v>2083.3333333333335</v>
      </c>
      <c r="Z21" s="23">
        <f t="shared" si="6"/>
        <v>2083.3333333333335</v>
      </c>
      <c r="AA21" s="23">
        <f t="shared" si="6"/>
        <v>2083.3333333333335</v>
      </c>
      <c r="AB21" s="23">
        <f t="shared" si="6"/>
        <v>2083.3333333333335</v>
      </c>
      <c r="AC21" s="23">
        <f t="shared" si="6"/>
        <v>2083.3333333333335</v>
      </c>
      <c r="AD21" s="23">
        <f t="shared" si="6"/>
        <v>2083.3333333333335</v>
      </c>
      <c r="AE21" s="23">
        <f t="shared" si="6"/>
        <v>2083.3333333333335</v>
      </c>
      <c r="AF21" s="23">
        <f t="shared" si="6"/>
        <v>2083.3333333333335</v>
      </c>
      <c r="AG21" s="23">
        <f>$G$21/12</f>
        <v>2083.3333333333335</v>
      </c>
      <c r="AH21" s="23">
        <f aca="true" t="shared" si="7" ref="AH21:AR21">$G$21/12</f>
        <v>2083.3333333333335</v>
      </c>
      <c r="AI21" s="23">
        <f t="shared" si="7"/>
        <v>2083.3333333333335</v>
      </c>
      <c r="AJ21" s="23">
        <f t="shared" si="7"/>
        <v>2083.3333333333335</v>
      </c>
      <c r="AK21" s="23">
        <f t="shared" si="7"/>
        <v>2083.3333333333335</v>
      </c>
      <c r="AL21" s="23">
        <f t="shared" si="7"/>
        <v>2083.3333333333335</v>
      </c>
      <c r="AM21" s="23">
        <f t="shared" si="7"/>
        <v>2083.3333333333335</v>
      </c>
      <c r="AN21" s="23">
        <f t="shared" si="7"/>
        <v>2083.3333333333335</v>
      </c>
      <c r="AO21" s="23">
        <f t="shared" si="7"/>
        <v>2083.3333333333335</v>
      </c>
      <c r="AP21" s="23">
        <f t="shared" si="7"/>
        <v>2083.3333333333335</v>
      </c>
      <c r="AQ21" s="23">
        <f t="shared" si="7"/>
        <v>2083.3333333333335</v>
      </c>
      <c r="AR21" s="112">
        <f t="shared" si="7"/>
        <v>2083.3333333333335</v>
      </c>
    </row>
    <row r="22" spans="2:44" s="26" customFormat="1" ht="13.5">
      <c r="B22" s="45" t="s">
        <v>316</v>
      </c>
      <c r="D22" s="109"/>
      <c r="E22" s="23">
        <f>E47*E48*Staffing!B89</f>
        <v>97500</v>
      </c>
      <c r="F22" s="23">
        <f>F47*F48*Staffing!C89</f>
        <v>117500</v>
      </c>
      <c r="G22" s="110">
        <f>G47*G48*Staffing!D89</f>
        <v>135000</v>
      </c>
      <c r="H22" s="144"/>
      <c r="I22" s="111">
        <f>$E$22/12</f>
        <v>8125</v>
      </c>
      <c r="J22" s="23">
        <f aca="true" t="shared" si="8" ref="J22:T22">$E$22/12</f>
        <v>8125</v>
      </c>
      <c r="K22" s="23">
        <f t="shared" si="8"/>
        <v>8125</v>
      </c>
      <c r="L22" s="23">
        <f t="shared" si="8"/>
        <v>8125</v>
      </c>
      <c r="M22" s="23">
        <f t="shared" si="8"/>
        <v>8125</v>
      </c>
      <c r="N22" s="23">
        <f t="shared" si="8"/>
        <v>8125</v>
      </c>
      <c r="O22" s="23">
        <f t="shared" si="8"/>
        <v>8125</v>
      </c>
      <c r="P22" s="23">
        <f t="shared" si="8"/>
        <v>8125</v>
      </c>
      <c r="Q22" s="23">
        <f t="shared" si="8"/>
        <v>8125</v>
      </c>
      <c r="R22" s="23">
        <f t="shared" si="8"/>
        <v>8125</v>
      </c>
      <c r="S22" s="23">
        <f t="shared" si="8"/>
        <v>8125</v>
      </c>
      <c r="T22" s="23">
        <f t="shared" si="8"/>
        <v>8125</v>
      </c>
      <c r="U22" s="23">
        <f aca="true" t="shared" si="9" ref="U22:AF22">$F$22/12</f>
        <v>9791.666666666666</v>
      </c>
      <c r="V22" s="23">
        <f t="shared" si="9"/>
        <v>9791.666666666666</v>
      </c>
      <c r="W22" s="23">
        <f t="shared" si="9"/>
        <v>9791.666666666666</v>
      </c>
      <c r="X22" s="23">
        <f t="shared" si="9"/>
        <v>9791.666666666666</v>
      </c>
      <c r="Y22" s="23">
        <f t="shared" si="9"/>
        <v>9791.666666666666</v>
      </c>
      <c r="Z22" s="23">
        <f t="shared" si="9"/>
        <v>9791.666666666666</v>
      </c>
      <c r="AA22" s="23">
        <f t="shared" si="9"/>
        <v>9791.666666666666</v>
      </c>
      <c r="AB22" s="23">
        <f t="shared" si="9"/>
        <v>9791.666666666666</v>
      </c>
      <c r="AC22" s="23">
        <f t="shared" si="9"/>
        <v>9791.666666666666</v>
      </c>
      <c r="AD22" s="23">
        <f t="shared" si="9"/>
        <v>9791.666666666666</v>
      </c>
      <c r="AE22" s="23">
        <f t="shared" si="9"/>
        <v>9791.666666666666</v>
      </c>
      <c r="AF22" s="23">
        <f t="shared" si="9"/>
        <v>9791.666666666666</v>
      </c>
      <c r="AG22" s="23">
        <f aca="true" t="shared" si="10" ref="AG22:AR22">$G$22/12</f>
        <v>11250</v>
      </c>
      <c r="AH22" s="23">
        <f t="shared" si="10"/>
        <v>11250</v>
      </c>
      <c r="AI22" s="23">
        <f t="shared" si="10"/>
        <v>11250</v>
      </c>
      <c r="AJ22" s="23">
        <f t="shared" si="10"/>
        <v>11250</v>
      </c>
      <c r="AK22" s="23">
        <f t="shared" si="10"/>
        <v>11250</v>
      </c>
      <c r="AL22" s="23">
        <f t="shared" si="10"/>
        <v>11250</v>
      </c>
      <c r="AM22" s="23">
        <f t="shared" si="10"/>
        <v>11250</v>
      </c>
      <c r="AN22" s="23">
        <f t="shared" si="10"/>
        <v>11250</v>
      </c>
      <c r="AO22" s="23">
        <f t="shared" si="10"/>
        <v>11250</v>
      </c>
      <c r="AP22" s="23">
        <f t="shared" si="10"/>
        <v>11250</v>
      </c>
      <c r="AQ22" s="23">
        <f t="shared" si="10"/>
        <v>11250</v>
      </c>
      <c r="AR22" s="112">
        <f t="shared" si="10"/>
        <v>11250</v>
      </c>
    </row>
    <row r="23" spans="2:44" s="26" customFormat="1" ht="13.5">
      <c r="B23" s="45" t="s">
        <v>317</v>
      </c>
      <c r="D23" s="23"/>
      <c r="E23" s="23">
        <f>E50</f>
        <v>100000</v>
      </c>
      <c r="F23" s="23">
        <f>F50</f>
        <v>100000</v>
      </c>
      <c r="G23" s="110">
        <f>G50</f>
        <v>100000</v>
      </c>
      <c r="H23" s="144"/>
      <c r="I23" s="111">
        <f>$E$23/12</f>
        <v>8333.333333333334</v>
      </c>
      <c r="J23" s="23">
        <f>$E$23/12</f>
        <v>8333.333333333334</v>
      </c>
      <c r="K23" s="23">
        <f aca="true" t="shared" si="11" ref="K23:T23">$E$23/12</f>
        <v>8333.333333333334</v>
      </c>
      <c r="L23" s="23">
        <f t="shared" si="11"/>
        <v>8333.333333333334</v>
      </c>
      <c r="M23" s="23">
        <f t="shared" si="11"/>
        <v>8333.333333333334</v>
      </c>
      <c r="N23" s="23">
        <f t="shared" si="11"/>
        <v>8333.333333333334</v>
      </c>
      <c r="O23" s="23">
        <f t="shared" si="11"/>
        <v>8333.333333333334</v>
      </c>
      <c r="P23" s="23">
        <f t="shared" si="11"/>
        <v>8333.333333333334</v>
      </c>
      <c r="Q23" s="23">
        <f t="shared" si="11"/>
        <v>8333.333333333334</v>
      </c>
      <c r="R23" s="23">
        <f t="shared" si="11"/>
        <v>8333.333333333334</v>
      </c>
      <c r="S23" s="23">
        <f t="shared" si="11"/>
        <v>8333.333333333334</v>
      </c>
      <c r="T23" s="23">
        <f t="shared" si="11"/>
        <v>8333.333333333334</v>
      </c>
      <c r="U23" s="23">
        <f>$F$23/12</f>
        <v>8333.333333333334</v>
      </c>
      <c r="V23" s="23">
        <f aca="true" t="shared" si="12" ref="V23:AF23">$F$23/12</f>
        <v>8333.333333333334</v>
      </c>
      <c r="W23" s="23">
        <f t="shared" si="12"/>
        <v>8333.333333333334</v>
      </c>
      <c r="X23" s="23">
        <f t="shared" si="12"/>
        <v>8333.333333333334</v>
      </c>
      <c r="Y23" s="23">
        <f t="shared" si="12"/>
        <v>8333.333333333334</v>
      </c>
      <c r="Z23" s="23">
        <f t="shared" si="12"/>
        <v>8333.333333333334</v>
      </c>
      <c r="AA23" s="23">
        <f t="shared" si="12"/>
        <v>8333.333333333334</v>
      </c>
      <c r="AB23" s="23">
        <f t="shared" si="12"/>
        <v>8333.333333333334</v>
      </c>
      <c r="AC23" s="23">
        <f t="shared" si="12"/>
        <v>8333.333333333334</v>
      </c>
      <c r="AD23" s="23">
        <f t="shared" si="12"/>
        <v>8333.333333333334</v>
      </c>
      <c r="AE23" s="23">
        <f t="shared" si="12"/>
        <v>8333.333333333334</v>
      </c>
      <c r="AF23" s="23">
        <f t="shared" si="12"/>
        <v>8333.333333333334</v>
      </c>
      <c r="AG23" s="23">
        <f>$G$23/12</f>
        <v>8333.333333333334</v>
      </c>
      <c r="AH23" s="23">
        <f aca="true" t="shared" si="13" ref="AH23:AR23">$G$23/12</f>
        <v>8333.333333333334</v>
      </c>
      <c r="AI23" s="23">
        <f t="shared" si="13"/>
        <v>8333.333333333334</v>
      </c>
      <c r="AJ23" s="23">
        <f t="shared" si="13"/>
        <v>8333.333333333334</v>
      </c>
      <c r="AK23" s="23">
        <f t="shared" si="13"/>
        <v>8333.333333333334</v>
      </c>
      <c r="AL23" s="23">
        <f t="shared" si="13"/>
        <v>8333.333333333334</v>
      </c>
      <c r="AM23" s="23">
        <f t="shared" si="13"/>
        <v>8333.333333333334</v>
      </c>
      <c r="AN23" s="23">
        <f t="shared" si="13"/>
        <v>8333.333333333334</v>
      </c>
      <c r="AO23" s="23">
        <f t="shared" si="13"/>
        <v>8333.333333333334</v>
      </c>
      <c r="AP23" s="23">
        <f t="shared" si="13"/>
        <v>8333.333333333334</v>
      </c>
      <c r="AQ23" s="23">
        <f t="shared" si="13"/>
        <v>8333.333333333334</v>
      </c>
      <c r="AR23" s="112">
        <f t="shared" si="13"/>
        <v>8333.333333333334</v>
      </c>
    </row>
    <row r="24" spans="2:44" s="52" customFormat="1" ht="13.5">
      <c r="B24" s="34" t="s">
        <v>318</v>
      </c>
      <c r="D24" s="115"/>
      <c r="E24" s="116">
        <f>E52*(E21+E22+E23+E16)</f>
        <v>62250</v>
      </c>
      <c r="F24" s="116">
        <f>F52*(F21+F22+F23+F16)</f>
        <v>64250</v>
      </c>
      <c r="G24" s="117">
        <f>G52*(G21+G22+G23+G16)</f>
        <v>66000</v>
      </c>
      <c r="H24" s="145"/>
      <c r="I24" s="118">
        <f>$E$24/12</f>
        <v>5187.5</v>
      </c>
      <c r="J24" s="118">
        <f aca="true" t="shared" si="14" ref="J24:AR24">$E$24/12</f>
        <v>5187.5</v>
      </c>
      <c r="K24" s="118">
        <f t="shared" si="14"/>
        <v>5187.5</v>
      </c>
      <c r="L24" s="118">
        <f t="shared" si="14"/>
        <v>5187.5</v>
      </c>
      <c r="M24" s="118">
        <f t="shared" si="14"/>
        <v>5187.5</v>
      </c>
      <c r="N24" s="118">
        <f t="shared" si="14"/>
        <v>5187.5</v>
      </c>
      <c r="O24" s="118">
        <f t="shared" si="14"/>
        <v>5187.5</v>
      </c>
      <c r="P24" s="118">
        <f t="shared" si="14"/>
        <v>5187.5</v>
      </c>
      <c r="Q24" s="118">
        <f t="shared" si="14"/>
        <v>5187.5</v>
      </c>
      <c r="R24" s="118">
        <f t="shared" si="14"/>
        <v>5187.5</v>
      </c>
      <c r="S24" s="118">
        <f t="shared" si="14"/>
        <v>5187.5</v>
      </c>
      <c r="T24" s="118">
        <f t="shared" si="14"/>
        <v>5187.5</v>
      </c>
      <c r="U24" s="118">
        <f t="shared" si="14"/>
        <v>5187.5</v>
      </c>
      <c r="V24" s="118">
        <f t="shared" si="14"/>
        <v>5187.5</v>
      </c>
      <c r="W24" s="118">
        <f t="shared" si="14"/>
        <v>5187.5</v>
      </c>
      <c r="X24" s="118">
        <f t="shared" si="14"/>
        <v>5187.5</v>
      </c>
      <c r="Y24" s="118">
        <f t="shared" si="14"/>
        <v>5187.5</v>
      </c>
      <c r="Z24" s="118">
        <f t="shared" si="14"/>
        <v>5187.5</v>
      </c>
      <c r="AA24" s="118">
        <f t="shared" si="14"/>
        <v>5187.5</v>
      </c>
      <c r="AB24" s="118">
        <f t="shared" si="14"/>
        <v>5187.5</v>
      </c>
      <c r="AC24" s="118">
        <f t="shared" si="14"/>
        <v>5187.5</v>
      </c>
      <c r="AD24" s="118">
        <f t="shared" si="14"/>
        <v>5187.5</v>
      </c>
      <c r="AE24" s="118">
        <f t="shared" si="14"/>
        <v>5187.5</v>
      </c>
      <c r="AF24" s="118">
        <f t="shared" si="14"/>
        <v>5187.5</v>
      </c>
      <c r="AG24" s="118">
        <f t="shared" si="14"/>
        <v>5187.5</v>
      </c>
      <c r="AH24" s="118">
        <f t="shared" si="14"/>
        <v>5187.5</v>
      </c>
      <c r="AI24" s="118">
        <f t="shared" si="14"/>
        <v>5187.5</v>
      </c>
      <c r="AJ24" s="118">
        <f t="shared" si="14"/>
        <v>5187.5</v>
      </c>
      <c r="AK24" s="118">
        <f t="shared" si="14"/>
        <v>5187.5</v>
      </c>
      <c r="AL24" s="118">
        <f t="shared" si="14"/>
        <v>5187.5</v>
      </c>
      <c r="AM24" s="118">
        <f t="shared" si="14"/>
        <v>5187.5</v>
      </c>
      <c r="AN24" s="118">
        <f t="shared" si="14"/>
        <v>5187.5</v>
      </c>
      <c r="AO24" s="118">
        <f t="shared" si="14"/>
        <v>5187.5</v>
      </c>
      <c r="AP24" s="118">
        <f t="shared" si="14"/>
        <v>5187.5</v>
      </c>
      <c r="AQ24" s="118">
        <f t="shared" si="14"/>
        <v>5187.5</v>
      </c>
      <c r="AR24" s="118">
        <f t="shared" si="14"/>
        <v>5187.5</v>
      </c>
    </row>
    <row r="25" spans="1:44" ht="12.75" customHeight="1">
      <c r="A25" s="45" t="s">
        <v>192</v>
      </c>
      <c r="B25" s="45"/>
      <c r="D25" s="109"/>
      <c r="E25" s="23">
        <f>SUM(E20:E24)</f>
        <v>753500</v>
      </c>
      <c r="F25" s="23">
        <f>SUM(F20:F24)</f>
        <v>1094250</v>
      </c>
      <c r="G25" s="110">
        <f>SUM(G20:G24)</f>
        <v>1339906.25</v>
      </c>
      <c r="H25" s="143"/>
      <c r="I25" s="111">
        <f>SUM(I20:I24)</f>
        <v>31541.66666666667</v>
      </c>
      <c r="J25" s="111">
        <f aca="true" t="shared" si="15" ref="J25:AR25">SUM(J20:J24)</f>
        <v>39354.166666666664</v>
      </c>
      <c r="K25" s="111">
        <f t="shared" si="15"/>
        <v>47166.666666666664</v>
      </c>
      <c r="L25" s="111">
        <f t="shared" si="15"/>
        <v>70604.16666666667</v>
      </c>
      <c r="M25" s="111">
        <f t="shared" si="15"/>
        <v>70604.16666666667</v>
      </c>
      <c r="N25" s="111">
        <f t="shared" si="15"/>
        <v>70604.16666666667</v>
      </c>
      <c r="O25" s="111">
        <f t="shared" si="15"/>
        <v>70604.16666666667</v>
      </c>
      <c r="P25" s="111">
        <f t="shared" si="15"/>
        <v>70604.16666666667</v>
      </c>
      <c r="Q25" s="111">
        <f t="shared" si="15"/>
        <v>70604.16666666667</v>
      </c>
      <c r="R25" s="111">
        <f t="shared" si="15"/>
        <v>70604.16666666667</v>
      </c>
      <c r="S25" s="111">
        <f t="shared" si="15"/>
        <v>70604.16666666667</v>
      </c>
      <c r="T25" s="111">
        <f t="shared" si="15"/>
        <v>70604.16666666667</v>
      </c>
      <c r="U25" s="111">
        <f t="shared" si="15"/>
        <v>91020.83333333333</v>
      </c>
      <c r="V25" s="111">
        <f t="shared" si="15"/>
        <v>91020.83333333333</v>
      </c>
      <c r="W25" s="111">
        <f t="shared" si="15"/>
        <v>91020.83333333333</v>
      </c>
      <c r="X25" s="111">
        <f t="shared" si="15"/>
        <v>91020.83333333333</v>
      </c>
      <c r="Y25" s="111">
        <f t="shared" si="15"/>
        <v>91020.83333333333</v>
      </c>
      <c r="Z25" s="111">
        <f t="shared" si="15"/>
        <v>91020.83333333333</v>
      </c>
      <c r="AA25" s="111">
        <f t="shared" si="15"/>
        <v>91020.83333333333</v>
      </c>
      <c r="AB25" s="111">
        <f t="shared" si="15"/>
        <v>91020.83333333333</v>
      </c>
      <c r="AC25" s="111">
        <f t="shared" si="15"/>
        <v>91020.83333333333</v>
      </c>
      <c r="AD25" s="111">
        <f t="shared" si="15"/>
        <v>91020.83333333333</v>
      </c>
      <c r="AE25" s="111">
        <f t="shared" si="15"/>
        <v>91020.83333333333</v>
      </c>
      <c r="AF25" s="111">
        <f t="shared" si="15"/>
        <v>91020.83333333333</v>
      </c>
      <c r="AG25" s="111">
        <f t="shared" si="15"/>
        <v>111346.35416666666</v>
      </c>
      <c r="AH25" s="111">
        <f t="shared" si="15"/>
        <v>111346.35416666666</v>
      </c>
      <c r="AI25" s="111">
        <f t="shared" si="15"/>
        <v>111346.35416666666</v>
      </c>
      <c r="AJ25" s="111">
        <f t="shared" si="15"/>
        <v>111346.35416666666</v>
      </c>
      <c r="AK25" s="111">
        <f t="shared" si="15"/>
        <v>111346.35416666666</v>
      </c>
      <c r="AL25" s="111">
        <f t="shared" si="15"/>
        <v>111346.35416666666</v>
      </c>
      <c r="AM25" s="111">
        <f t="shared" si="15"/>
        <v>111346.35416666666</v>
      </c>
      <c r="AN25" s="111">
        <f t="shared" si="15"/>
        <v>111346.35416666666</v>
      </c>
      <c r="AO25" s="111">
        <f t="shared" si="15"/>
        <v>111346.35416666666</v>
      </c>
      <c r="AP25" s="111">
        <f t="shared" si="15"/>
        <v>111346.35416666666</v>
      </c>
      <c r="AQ25" s="111">
        <f t="shared" si="15"/>
        <v>111346.35416666666</v>
      </c>
      <c r="AR25" s="111">
        <f t="shared" si="15"/>
        <v>111346.35416666666</v>
      </c>
    </row>
    <row r="26" spans="1:44" ht="12.75" customHeight="1">
      <c r="A26" s="45"/>
      <c r="B26" s="45"/>
      <c r="D26" s="109"/>
      <c r="E26" s="23"/>
      <c r="F26" s="23"/>
      <c r="G26" s="110"/>
      <c r="H26" s="143"/>
      <c r="I26" s="111"/>
      <c r="J26" s="23"/>
      <c r="K26" s="23"/>
      <c r="L26" s="23"/>
      <c r="M26" s="23"/>
      <c r="N26" s="23"/>
      <c r="O26" s="23"/>
      <c r="P26" s="23"/>
      <c r="Q26" s="23"/>
      <c r="R26" s="23"/>
      <c r="S26" s="23"/>
      <c r="T26" s="23">
        <f>SUM(I25:T25)</f>
        <v>753500</v>
      </c>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112"/>
    </row>
    <row r="27" spans="3:44" ht="13.5">
      <c r="C27" s="113"/>
      <c r="D27" s="114"/>
      <c r="E27" s="123"/>
      <c r="F27" s="123"/>
      <c r="G27" s="124"/>
      <c r="H27" s="143"/>
      <c r="I27" s="111"/>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112"/>
    </row>
    <row r="28" spans="1:44" ht="13.5">
      <c r="A28" s="25" t="s">
        <v>240</v>
      </c>
      <c r="C28" s="113"/>
      <c r="D28" s="114"/>
      <c r="E28" s="23">
        <f>E13+E17+E25+D6+D7</f>
        <v>3143437.5</v>
      </c>
      <c r="F28" s="23">
        <f>F13+F17+F25</f>
        <v>5339275</v>
      </c>
      <c r="G28" s="110">
        <f>G13+G17+G25</f>
        <v>6207235.125</v>
      </c>
      <c r="H28" s="143"/>
      <c r="I28" s="23">
        <f>(SUM($D$6:$D$7)/3)+I13+I17+I25</f>
        <v>201937.5</v>
      </c>
      <c r="J28" s="23">
        <f>(SUM($D$6:$D$7)/3)+J13+J17+J25</f>
        <v>209750</v>
      </c>
      <c r="K28" s="23">
        <f>(SUM($D$6:$D$7)/3)+K13+K17+K25</f>
        <v>217562.5</v>
      </c>
      <c r="L28" s="23">
        <f>L13+L17+L25</f>
        <v>167375</v>
      </c>
      <c r="M28" s="23">
        <f aca="true" t="shared" si="16" ref="M28:AR28">M13+M17+M25</f>
        <v>190812.5</v>
      </c>
      <c r="N28" s="23">
        <f t="shared" si="16"/>
        <v>222062.5</v>
      </c>
      <c r="O28" s="23">
        <f t="shared" si="16"/>
        <v>261125</v>
      </c>
      <c r="P28" s="23">
        <f t="shared" si="16"/>
        <v>292375</v>
      </c>
      <c r="Q28" s="23">
        <f t="shared" si="16"/>
        <v>315812.5</v>
      </c>
      <c r="R28" s="23">
        <f t="shared" si="16"/>
        <v>339250</v>
      </c>
      <c r="S28" s="23">
        <f t="shared" si="16"/>
        <v>362687.5</v>
      </c>
      <c r="T28" s="23">
        <f t="shared" si="16"/>
        <v>362687.5</v>
      </c>
      <c r="U28" s="23">
        <f t="shared" si="16"/>
        <v>444772.9166666666</v>
      </c>
      <c r="V28" s="23">
        <f t="shared" si="16"/>
        <v>444772.9166666666</v>
      </c>
      <c r="W28" s="23">
        <f t="shared" si="16"/>
        <v>444772.9166666666</v>
      </c>
      <c r="X28" s="23">
        <f t="shared" si="16"/>
        <v>444772.9166666666</v>
      </c>
      <c r="Y28" s="23">
        <f t="shared" si="16"/>
        <v>444772.9166666666</v>
      </c>
      <c r="Z28" s="23">
        <f t="shared" si="16"/>
        <v>444772.9166666666</v>
      </c>
      <c r="AA28" s="23">
        <f t="shared" si="16"/>
        <v>444772.9166666666</v>
      </c>
      <c r="AB28" s="23">
        <f t="shared" si="16"/>
        <v>444772.9166666666</v>
      </c>
      <c r="AC28" s="23">
        <f t="shared" si="16"/>
        <v>444772.9166666666</v>
      </c>
      <c r="AD28" s="23">
        <f t="shared" si="16"/>
        <v>444772.9166666666</v>
      </c>
      <c r="AE28" s="23">
        <f t="shared" si="16"/>
        <v>444772.9166666666</v>
      </c>
      <c r="AF28" s="23">
        <f t="shared" si="16"/>
        <v>444772.9166666666</v>
      </c>
      <c r="AG28" s="23">
        <f t="shared" si="16"/>
        <v>516957.09375</v>
      </c>
      <c r="AH28" s="23">
        <f t="shared" si="16"/>
        <v>516957.09375</v>
      </c>
      <c r="AI28" s="23">
        <f t="shared" si="16"/>
        <v>516957.09375</v>
      </c>
      <c r="AJ28" s="23">
        <f t="shared" si="16"/>
        <v>516957.09375</v>
      </c>
      <c r="AK28" s="23">
        <f t="shared" si="16"/>
        <v>516957.09375</v>
      </c>
      <c r="AL28" s="23">
        <f t="shared" si="16"/>
        <v>516957.09375</v>
      </c>
      <c r="AM28" s="23">
        <f t="shared" si="16"/>
        <v>516957.09375</v>
      </c>
      <c r="AN28" s="23">
        <f t="shared" si="16"/>
        <v>516957.09375</v>
      </c>
      <c r="AO28" s="23">
        <f t="shared" si="16"/>
        <v>516957.09375</v>
      </c>
      <c r="AP28" s="23">
        <f t="shared" si="16"/>
        <v>516957.09375</v>
      </c>
      <c r="AQ28" s="23">
        <f t="shared" si="16"/>
        <v>516957.09375</v>
      </c>
      <c r="AR28" s="23">
        <f t="shared" si="16"/>
        <v>516957.09375</v>
      </c>
    </row>
    <row r="29" spans="4:44" ht="15" thickBot="1">
      <c r="D29" s="115"/>
      <c r="E29" s="116"/>
      <c r="F29" s="116"/>
      <c r="G29" s="117"/>
      <c r="H29" s="143"/>
      <c r="I29" s="125"/>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7"/>
    </row>
    <row r="30" spans="9:44" ht="13.5">
      <c r="I30" s="26"/>
      <c r="J30" s="26"/>
      <c r="K30" s="26"/>
      <c r="L30" s="26"/>
      <c r="M30" s="26"/>
      <c r="N30" s="26"/>
      <c r="O30" s="26"/>
      <c r="P30" s="26"/>
      <c r="Q30" s="26"/>
      <c r="R30" s="26"/>
      <c r="S30" s="26"/>
      <c r="T30" s="153"/>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ht="15" thickBot="1"/>
    <row r="32" spans="2:3" ht="15" thickBot="1">
      <c r="B32" s="128"/>
      <c r="C32" s="25" t="s">
        <v>522</v>
      </c>
    </row>
    <row r="33" ht="15" thickBot="1"/>
    <row r="34" spans="1:7" ht="13.5">
      <c r="A34" s="70" t="s">
        <v>408</v>
      </c>
      <c r="B34" s="71"/>
      <c r="C34" s="71"/>
      <c r="D34" s="71"/>
      <c r="E34" s="22" t="s">
        <v>196</v>
      </c>
      <c r="F34" s="22" t="s">
        <v>197</v>
      </c>
      <c r="G34" s="129" t="s">
        <v>198</v>
      </c>
    </row>
    <row r="35" spans="1:7" ht="13.5">
      <c r="A35" s="16"/>
      <c r="B35" s="48"/>
      <c r="C35" s="55"/>
      <c r="D35" s="26"/>
      <c r="E35" s="55"/>
      <c r="F35" s="55"/>
      <c r="G35" s="130"/>
    </row>
    <row r="36" spans="1:7" ht="13.5">
      <c r="A36" s="131"/>
      <c r="B36" s="48" t="s">
        <v>194</v>
      </c>
      <c r="C36" s="55"/>
      <c r="D36" s="26"/>
      <c r="E36" s="132"/>
      <c r="F36" s="132"/>
      <c r="G36" s="133"/>
    </row>
    <row r="37" spans="1:7" ht="13.5">
      <c r="A37" s="131"/>
      <c r="B37" s="48"/>
      <c r="C37" s="134" t="s">
        <v>311</v>
      </c>
      <c r="D37" s="147">
        <v>300000</v>
      </c>
      <c r="E37" s="132"/>
      <c r="F37" s="132"/>
      <c r="G37" s="133"/>
    </row>
    <row r="38" spans="1:7" ht="13.5">
      <c r="A38" s="131"/>
      <c r="B38" s="48"/>
      <c r="C38" s="134" t="s">
        <v>312</v>
      </c>
      <c r="D38" s="148">
        <v>1000</v>
      </c>
      <c r="E38" s="132"/>
      <c r="F38" s="132"/>
      <c r="G38" s="133"/>
    </row>
    <row r="39" spans="1:7" ht="13.5">
      <c r="A39" s="131"/>
      <c r="B39" s="48"/>
      <c r="C39" s="55"/>
      <c r="D39" s="26"/>
      <c r="E39" s="132"/>
      <c r="F39" s="132"/>
      <c r="G39" s="133"/>
    </row>
    <row r="40" spans="1:7" ht="13.5">
      <c r="A40" s="131"/>
      <c r="B40" s="48" t="s">
        <v>314</v>
      </c>
      <c r="C40" s="55"/>
      <c r="D40" s="135"/>
      <c r="E40" s="132"/>
      <c r="F40" s="132"/>
      <c r="G40" s="133"/>
    </row>
    <row r="41" spans="1:7" ht="13.5">
      <c r="A41" s="131"/>
      <c r="B41" s="48"/>
      <c r="C41" s="134" t="s">
        <v>319</v>
      </c>
      <c r="D41" s="135"/>
      <c r="E41" s="147">
        <v>1000</v>
      </c>
      <c r="F41" s="147">
        <v>1000</v>
      </c>
      <c r="G41" s="149">
        <v>1000</v>
      </c>
    </row>
    <row r="42" spans="1:7" ht="13.5">
      <c r="A42" s="131"/>
      <c r="B42" s="48"/>
      <c r="C42" s="134" t="s">
        <v>320</v>
      </c>
      <c r="D42" s="135"/>
      <c r="E42" s="148">
        <v>400</v>
      </c>
      <c r="F42" s="148">
        <v>400</v>
      </c>
      <c r="G42" s="150">
        <v>400</v>
      </c>
    </row>
    <row r="43" spans="1:7" ht="13.5">
      <c r="A43" s="131"/>
      <c r="B43" s="48"/>
      <c r="C43" s="55"/>
      <c r="D43" s="135"/>
      <c r="E43" s="132"/>
      <c r="F43" s="132"/>
      <c r="G43" s="133"/>
    </row>
    <row r="44" spans="1:10" ht="13.5">
      <c r="A44" s="131"/>
      <c r="B44" s="48" t="s">
        <v>315</v>
      </c>
      <c r="C44" s="55"/>
      <c r="D44" s="26"/>
      <c r="E44" s="147">
        <v>25000</v>
      </c>
      <c r="F44" s="147">
        <v>25000</v>
      </c>
      <c r="G44" s="149">
        <v>25000</v>
      </c>
      <c r="J44" s="136"/>
    </row>
    <row r="45" spans="1:7" ht="13.5">
      <c r="A45" s="131"/>
      <c r="B45" s="48"/>
      <c r="C45" s="55"/>
      <c r="D45" s="26"/>
      <c r="E45" s="132"/>
      <c r="F45" s="132"/>
      <c r="G45" s="133"/>
    </row>
    <row r="46" spans="1:7" ht="13.5">
      <c r="A46" s="131"/>
      <c r="B46" s="48" t="s">
        <v>316</v>
      </c>
      <c r="C46" s="55"/>
      <c r="D46" s="135"/>
      <c r="E46" s="132"/>
      <c r="F46" s="132"/>
      <c r="G46" s="133"/>
    </row>
    <row r="47" spans="1:7" ht="13.5">
      <c r="A47" s="131"/>
      <c r="B47" s="48"/>
      <c r="C47" s="134" t="s">
        <v>448</v>
      </c>
      <c r="D47" s="135"/>
      <c r="E47" s="148">
        <v>100</v>
      </c>
      <c r="F47" s="148">
        <v>100</v>
      </c>
      <c r="G47" s="150">
        <v>100</v>
      </c>
    </row>
    <row r="48" spans="1:7" ht="13.5">
      <c r="A48" s="131"/>
      <c r="B48" s="48"/>
      <c r="C48" s="134" t="s">
        <v>449</v>
      </c>
      <c r="D48" s="26"/>
      <c r="E48" s="147">
        <v>25</v>
      </c>
      <c r="F48" s="147">
        <v>25</v>
      </c>
      <c r="G48" s="149">
        <v>25</v>
      </c>
    </row>
    <row r="49" spans="1:7" ht="13.5">
      <c r="A49" s="131"/>
      <c r="B49" s="48"/>
      <c r="C49" s="55"/>
      <c r="D49" s="26"/>
      <c r="E49" s="132"/>
      <c r="F49" s="132"/>
      <c r="G49" s="133"/>
    </row>
    <row r="50" spans="1:7" ht="13.5">
      <c r="A50" s="131"/>
      <c r="B50" s="48" t="s">
        <v>317</v>
      </c>
      <c r="C50" s="55"/>
      <c r="D50" s="135"/>
      <c r="E50" s="147">
        <v>100000</v>
      </c>
      <c r="F50" s="147">
        <v>100000</v>
      </c>
      <c r="G50" s="149">
        <v>100000</v>
      </c>
    </row>
    <row r="51" spans="1:7" ht="13.5">
      <c r="A51" s="131"/>
      <c r="B51" s="48"/>
      <c r="C51" s="55"/>
      <c r="D51" s="135"/>
      <c r="E51" s="132"/>
      <c r="F51" s="132"/>
      <c r="G51" s="133"/>
    </row>
    <row r="52" spans="1:7" ht="13.5">
      <c r="A52" s="131"/>
      <c r="B52" s="48" t="s">
        <v>318</v>
      </c>
      <c r="C52" s="55"/>
      <c r="D52" s="135"/>
      <c r="E52" s="151">
        <v>0.1</v>
      </c>
      <c r="F52" s="151">
        <v>0.1</v>
      </c>
      <c r="G52" s="152">
        <v>0.1</v>
      </c>
    </row>
    <row r="53" spans="1:7" ht="13.5">
      <c r="A53" s="131"/>
      <c r="B53" s="48"/>
      <c r="C53" s="55"/>
      <c r="D53" s="135"/>
      <c r="E53" s="151"/>
      <c r="F53" s="151"/>
      <c r="G53" s="152"/>
    </row>
    <row r="54" spans="1:7" ht="13.5">
      <c r="A54" s="131"/>
      <c r="B54" s="48" t="s">
        <v>444</v>
      </c>
      <c r="C54" s="55"/>
      <c r="D54" s="135"/>
      <c r="E54" s="147">
        <v>1500</v>
      </c>
      <c r="F54" s="147">
        <v>1500</v>
      </c>
      <c r="G54" s="147">
        <v>1500</v>
      </c>
    </row>
    <row r="55" spans="1:7" ht="15" thickBot="1">
      <c r="A55" s="19"/>
      <c r="B55" s="20"/>
      <c r="C55" s="137"/>
      <c r="D55" s="138"/>
      <c r="E55" s="139"/>
      <c r="F55" s="139"/>
      <c r="G55" s="140"/>
    </row>
    <row r="56" spans="1:7" ht="13.5">
      <c r="A56" s="16"/>
      <c r="B56" s="48"/>
      <c r="C56" s="55"/>
      <c r="E56" s="132"/>
      <c r="F56" s="141"/>
      <c r="G56" s="132"/>
    </row>
    <row r="57" spans="1:7" ht="13.5">
      <c r="A57" s="16"/>
      <c r="B57" s="48"/>
      <c r="C57" s="55"/>
      <c r="E57" s="132"/>
      <c r="F57" s="141"/>
      <c r="G57" s="132"/>
    </row>
    <row r="58" spans="1:7" ht="13.5">
      <c r="A58" s="16"/>
      <c r="B58" s="48"/>
      <c r="C58" s="55"/>
      <c r="E58" s="132"/>
      <c r="F58" s="141"/>
      <c r="G58" s="132"/>
    </row>
    <row r="59" spans="1:7" ht="13.5">
      <c r="A59" s="16"/>
      <c r="B59" s="48"/>
      <c r="C59" s="55"/>
      <c r="E59" s="132"/>
      <c r="F59" s="141"/>
      <c r="G59" s="132"/>
    </row>
    <row r="60" spans="1:7" ht="13.5">
      <c r="A60" s="16"/>
      <c r="B60" s="48"/>
      <c r="C60" s="55"/>
      <c r="E60" s="132"/>
      <c r="F60" s="141"/>
      <c r="G60" s="132"/>
    </row>
    <row r="61" spans="1:7" ht="13.5">
      <c r="A61" s="16"/>
      <c r="B61" s="48"/>
      <c r="C61" s="55"/>
      <c r="E61" s="132"/>
      <c r="F61" s="141"/>
      <c r="G61" s="132"/>
    </row>
    <row r="62" spans="1:7" ht="13.5">
      <c r="A62" s="16"/>
      <c r="B62" s="48"/>
      <c r="C62" s="55"/>
      <c r="E62" s="132"/>
      <c r="F62" s="141"/>
      <c r="G62" s="132"/>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J162"/>
  <sheetViews>
    <sheetView zoomScale="110" zoomScaleNormal="110" workbookViewId="0" topLeftCell="AF49">
      <selection activeCell="C5" sqref="C5"/>
    </sheetView>
  </sheetViews>
  <sheetFormatPr defaultColWidth="8.8515625" defaultRowHeight="12.75" customHeight="1"/>
  <cols>
    <col min="1" max="1" width="37.421875" style="25" customWidth="1"/>
    <col min="2" max="2" width="11.00390625" style="25" customWidth="1"/>
    <col min="3" max="4" width="6.8515625" style="25" bestFit="1" customWidth="1"/>
    <col min="5" max="5" width="1.28515625" style="25" customWidth="1"/>
    <col min="6" max="7" width="12.28125" style="25" customWidth="1"/>
    <col min="8" max="8" width="12.421875" style="25" customWidth="1"/>
    <col min="9" max="9" width="12.8515625" style="25" customWidth="1"/>
    <col min="10" max="10" width="1.28515625" style="25" customWidth="1"/>
    <col min="11" max="11" width="11.421875" style="25" customWidth="1"/>
    <col min="12" max="12" width="11.28125" style="25" bestFit="1" customWidth="1"/>
    <col min="13" max="13" width="11.421875" style="25" bestFit="1" customWidth="1"/>
    <col min="14" max="14" width="1.1484375" style="25" customWidth="1"/>
    <col min="15" max="15" width="6.8515625" style="25" customWidth="1"/>
    <col min="16" max="16" width="7.28125" style="25" bestFit="1" customWidth="1"/>
    <col min="17" max="17" width="6.421875" style="25" bestFit="1" customWidth="1"/>
    <col min="18" max="18" width="6.00390625" style="25" bestFit="1" customWidth="1"/>
    <col min="19" max="20" width="7.00390625" style="25" bestFit="1" customWidth="1"/>
    <col min="21" max="22" width="6.421875" style="25" bestFit="1" customWidth="1"/>
    <col min="23" max="50" width="6.421875" style="25" customWidth="1"/>
    <col min="51" max="51" width="1.421875" style="25" customWidth="1"/>
    <col min="52" max="62" width="11.28125" style="25" bestFit="1" customWidth="1"/>
    <col min="63" max="63" width="11.421875" style="25" bestFit="1" customWidth="1"/>
    <col min="64" max="64" width="10.00390625" style="25" customWidth="1"/>
    <col min="65" max="76" width="11.28125" style="25" bestFit="1" customWidth="1"/>
    <col min="77" max="77" width="9.7109375" style="25" bestFit="1" customWidth="1"/>
    <col min="78" max="87" width="11.28125" style="25" bestFit="1" customWidth="1"/>
    <col min="88" max="16384" width="8.8515625" style="25" customWidth="1"/>
  </cols>
  <sheetData>
    <row r="1" ht="12.75" customHeight="1">
      <c r="A1" s="99" t="s">
        <v>355</v>
      </c>
    </row>
    <row r="2" ht="12.75" customHeight="1" thickBot="1"/>
    <row r="3" spans="1:4" ht="12.75" customHeight="1">
      <c r="A3" s="230" t="s">
        <v>258</v>
      </c>
      <c r="B3" s="231" t="s">
        <v>196</v>
      </c>
      <c r="C3" s="231" t="s">
        <v>197</v>
      </c>
      <c r="D3" s="232" t="s">
        <v>198</v>
      </c>
    </row>
    <row r="4" spans="1:4" s="167" customFormat="1" ht="12.75" customHeight="1">
      <c r="A4" s="211" t="s">
        <v>483</v>
      </c>
      <c r="B4" s="45"/>
      <c r="C4" s="8">
        <v>0.05</v>
      </c>
      <c r="D4" s="9">
        <v>0.03</v>
      </c>
    </row>
    <row r="5" spans="1:4" ht="12.75" customHeight="1">
      <c r="A5" s="32" t="s">
        <v>325</v>
      </c>
      <c r="B5" s="26"/>
      <c r="C5" s="17">
        <v>0.03</v>
      </c>
      <c r="D5" s="18">
        <v>0.03</v>
      </c>
    </row>
    <row r="6" spans="1:4" ht="12.75" customHeight="1" thickBot="1">
      <c r="A6" s="159" t="s">
        <v>356</v>
      </c>
      <c r="B6" s="206">
        <v>0.25</v>
      </c>
      <c r="C6" s="206">
        <v>0.25</v>
      </c>
      <c r="D6" s="229">
        <v>0.25</v>
      </c>
    </row>
    <row r="7" spans="1:5" ht="12.75" customHeight="1" thickBot="1">
      <c r="A7" s="26"/>
      <c r="B7" s="17"/>
      <c r="C7" s="17"/>
      <c r="D7" s="17"/>
      <c r="E7" s="26"/>
    </row>
    <row r="8" spans="1:5" ht="12.75" customHeight="1" thickBot="1">
      <c r="A8" s="207" t="s">
        <v>522</v>
      </c>
      <c r="B8" s="233"/>
      <c r="C8" s="17"/>
      <c r="D8" s="17"/>
      <c r="E8" s="45"/>
    </row>
    <row r="9" spans="1:5" ht="12.75" customHeight="1" thickBot="1">
      <c r="A9" s="207"/>
      <c r="B9" s="17"/>
      <c r="C9" s="17"/>
      <c r="D9" s="17"/>
      <c r="E9" s="45"/>
    </row>
    <row r="10" spans="1:87" s="167" customFormat="1" ht="27.75" customHeight="1" thickBot="1">
      <c r="A10" s="250" t="s">
        <v>124</v>
      </c>
      <c r="B10" s="251"/>
      <c r="C10" s="251"/>
      <c r="D10" s="251"/>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3"/>
    </row>
    <row r="11" spans="15:52" s="167" customFormat="1" ht="12" customHeight="1" thickBot="1">
      <c r="O11" s="167" t="s">
        <v>321</v>
      </c>
      <c r="AZ11" s="167" t="s">
        <v>257</v>
      </c>
    </row>
    <row r="12" spans="2:87" ht="12.75" customHeight="1">
      <c r="B12" s="208" t="s">
        <v>321</v>
      </c>
      <c r="C12" s="209"/>
      <c r="D12" s="209"/>
      <c r="E12" s="254"/>
      <c r="F12" s="208" t="s">
        <v>257</v>
      </c>
      <c r="G12" s="209"/>
      <c r="H12" s="209"/>
      <c r="I12" s="209"/>
      <c r="J12" s="254"/>
      <c r="K12" s="208" t="s">
        <v>247</v>
      </c>
      <c r="L12" s="209"/>
      <c r="M12" s="209"/>
      <c r="N12" s="254"/>
      <c r="O12" s="54" t="s">
        <v>196</v>
      </c>
      <c r="P12" s="54"/>
      <c r="Q12" s="54"/>
      <c r="R12" s="54"/>
      <c r="S12" s="54"/>
      <c r="T12" s="54"/>
      <c r="U12" s="54"/>
      <c r="V12" s="54"/>
      <c r="W12" s="54"/>
      <c r="X12" s="54"/>
      <c r="Y12" s="54"/>
      <c r="Z12" s="54"/>
      <c r="AA12" s="54" t="s">
        <v>197</v>
      </c>
      <c r="AB12" s="54"/>
      <c r="AC12" s="54"/>
      <c r="AD12" s="54"/>
      <c r="AE12" s="54"/>
      <c r="AF12" s="54"/>
      <c r="AG12" s="54"/>
      <c r="AH12" s="54"/>
      <c r="AI12" s="54"/>
      <c r="AJ12" s="54"/>
      <c r="AK12" s="54"/>
      <c r="AL12" s="54"/>
      <c r="AM12" s="54" t="s">
        <v>198</v>
      </c>
      <c r="AN12" s="54"/>
      <c r="AO12" s="54"/>
      <c r="AP12" s="54"/>
      <c r="AQ12" s="54"/>
      <c r="AR12" s="54"/>
      <c r="AS12" s="54"/>
      <c r="AT12" s="54"/>
      <c r="AU12" s="54"/>
      <c r="AV12" s="54"/>
      <c r="AW12" s="54"/>
      <c r="AX12" s="54"/>
      <c r="AY12" s="209"/>
      <c r="AZ12" s="255" t="s">
        <v>196</v>
      </c>
      <c r="BA12" s="209"/>
      <c r="BB12" s="209"/>
      <c r="BC12" s="209"/>
      <c r="BD12" s="54"/>
      <c r="BE12" s="54"/>
      <c r="BF12" s="54"/>
      <c r="BG12" s="54"/>
      <c r="BH12" s="54"/>
      <c r="BI12" s="54"/>
      <c r="BJ12" s="54"/>
      <c r="BK12" s="54"/>
      <c r="BL12" s="255" t="s">
        <v>197</v>
      </c>
      <c r="BM12" s="209"/>
      <c r="BN12" s="209"/>
      <c r="BO12" s="209"/>
      <c r="BP12" s="54"/>
      <c r="BQ12" s="54"/>
      <c r="BR12" s="54"/>
      <c r="BS12" s="54"/>
      <c r="BT12" s="54"/>
      <c r="BU12" s="54"/>
      <c r="BV12" s="54"/>
      <c r="BW12" s="54"/>
      <c r="BX12" s="255" t="s">
        <v>198</v>
      </c>
      <c r="BY12" s="209"/>
      <c r="BZ12" s="209"/>
      <c r="CA12" s="209"/>
      <c r="CB12" s="54"/>
      <c r="CC12" s="54"/>
      <c r="CD12" s="54"/>
      <c r="CE12" s="54"/>
      <c r="CF12" s="54"/>
      <c r="CG12" s="54"/>
      <c r="CH12" s="54"/>
      <c r="CI12" s="39"/>
    </row>
    <row r="13" spans="2:87" ht="12.75" customHeight="1">
      <c r="B13" s="32" t="s">
        <v>196</v>
      </c>
      <c r="C13" s="26" t="s">
        <v>197</v>
      </c>
      <c r="D13" s="26" t="s">
        <v>198</v>
      </c>
      <c r="E13" s="246"/>
      <c r="F13" s="210" t="s">
        <v>125</v>
      </c>
      <c r="G13" s="55" t="s">
        <v>196</v>
      </c>
      <c r="H13" s="55" t="s">
        <v>197</v>
      </c>
      <c r="I13" s="55" t="s">
        <v>198</v>
      </c>
      <c r="J13" s="246"/>
      <c r="K13" s="32" t="s">
        <v>196</v>
      </c>
      <c r="L13" s="26" t="s">
        <v>197</v>
      </c>
      <c r="M13" s="26" t="s">
        <v>198</v>
      </c>
      <c r="N13" s="246"/>
      <c r="O13" s="41" t="s">
        <v>200</v>
      </c>
      <c r="P13" s="41" t="s">
        <v>201</v>
      </c>
      <c r="Q13" s="41" t="s">
        <v>202</v>
      </c>
      <c r="R13" s="41" t="s">
        <v>203</v>
      </c>
      <c r="S13" s="41" t="s">
        <v>477</v>
      </c>
      <c r="T13" s="41" t="s">
        <v>357</v>
      </c>
      <c r="U13" s="41" t="s">
        <v>358</v>
      </c>
      <c r="V13" s="41" t="s">
        <v>359</v>
      </c>
      <c r="W13" s="41" t="s">
        <v>360</v>
      </c>
      <c r="X13" s="41" t="s">
        <v>361</v>
      </c>
      <c r="Y13" s="41" t="s">
        <v>362</v>
      </c>
      <c r="Z13" s="41" t="s">
        <v>363</v>
      </c>
      <c r="AA13" s="41" t="s">
        <v>200</v>
      </c>
      <c r="AB13" s="41" t="s">
        <v>201</v>
      </c>
      <c r="AC13" s="41" t="s">
        <v>202</v>
      </c>
      <c r="AD13" s="41" t="s">
        <v>203</v>
      </c>
      <c r="AE13" s="41" t="s">
        <v>477</v>
      </c>
      <c r="AF13" s="41" t="s">
        <v>357</v>
      </c>
      <c r="AG13" s="41" t="s">
        <v>358</v>
      </c>
      <c r="AH13" s="41" t="s">
        <v>359</v>
      </c>
      <c r="AI13" s="41" t="s">
        <v>360</v>
      </c>
      <c r="AJ13" s="41" t="s">
        <v>361</v>
      </c>
      <c r="AK13" s="41" t="s">
        <v>362</v>
      </c>
      <c r="AL13" s="41" t="s">
        <v>363</v>
      </c>
      <c r="AM13" s="43" t="s">
        <v>200</v>
      </c>
      <c r="AN13" s="43" t="s">
        <v>201</v>
      </c>
      <c r="AO13" s="43" t="s">
        <v>202</v>
      </c>
      <c r="AP13" s="43" t="s">
        <v>203</v>
      </c>
      <c r="AQ13" s="43" t="s">
        <v>477</v>
      </c>
      <c r="AR13" s="43" t="s">
        <v>357</v>
      </c>
      <c r="AS13" s="43" t="s">
        <v>358</v>
      </c>
      <c r="AT13" s="43" t="s">
        <v>359</v>
      </c>
      <c r="AU13" s="43" t="s">
        <v>360</v>
      </c>
      <c r="AV13" s="43" t="s">
        <v>361</v>
      </c>
      <c r="AW13" s="43" t="s">
        <v>362</v>
      </c>
      <c r="AX13" s="43" t="s">
        <v>363</v>
      </c>
      <c r="AY13" s="26"/>
      <c r="AZ13" s="41" t="s">
        <v>200</v>
      </c>
      <c r="BA13" s="41" t="s">
        <v>201</v>
      </c>
      <c r="BB13" s="41" t="s">
        <v>202</v>
      </c>
      <c r="BC13" s="41" t="s">
        <v>203</v>
      </c>
      <c r="BD13" s="41" t="s">
        <v>477</v>
      </c>
      <c r="BE13" s="41" t="s">
        <v>357</v>
      </c>
      <c r="BF13" s="41" t="s">
        <v>358</v>
      </c>
      <c r="BG13" s="41" t="s">
        <v>359</v>
      </c>
      <c r="BH13" s="41" t="s">
        <v>360</v>
      </c>
      <c r="BI13" s="41" t="s">
        <v>361</v>
      </c>
      <c r="BJ13" s="41" t="s">
        <v>362</v>
      </c>
      <c r="BK13" s="41" t="s">
        <v>363</v>
      </c>
      <c r="BL13" s="41" t="s">
        <v>200</v>
      </c>
      <c r="BM13" s="41" t="s">
        <v>201</v>
      </c>
      <c r="BN13" s="41" t="s">
        <v>202</v>
      </c>
      <c r="BO13" s="41" t="s">
        <v>203</v>
      </c>
      <c r="BP13" s="41" t="s">
        <v>477</v>
      </c>
      <c r="BQ13" s="41" t="s">
        <v>357</v>
      </c>
      <c r="BR13" s="41" t="s">
        <v>358</v>
      </c>
      <c r="BS13" s="41" t="s">
        <v>359</v>
      </c>
      <c r="BT13" s="41" t="s">
        <v>360</v>
      </c>
      <c r="BU13" s="41" t="s">
        <v>361</v>
      </c>
      <c r="BV13" s="41" t="s">
        <v>362</v>
      </c>
      <c r="BW13" s="41" t="s">
        <v>363</v>
      </c>
      <c r="BX13" s="43" t="s">
        <v>200</v>
      </c>
      <c r="BY13" s="43" t="s">
        <v>201</v>
      </c>
      <c r="BZ13" s="43" t="s">
        <v>202</v>
      </c>
      <c r="CA13" s="43" t="s">
        <v>203</v>
      </c>
      <c r="CB13" s="43" t="s">
        <v>477</v>
      </c>
      <c r="CC13" s="43" t="s">
        <v>357</v>
      </c>
      <c r="CD13" s="43" t="s">
        <v>358</v>
      </c>
      <c r="CE13" s="43" t="s">
        <v>359</v>
      </c>
      <c r="CF13" s="43" t="s">
        <v>360</v>
      </c>
      <c r="CG13" s="43" t="s">
        <v>361</v>
      </c>
      <c r="CH13" s="43" t="s">
        <v>362</v>
      </c>
      <c r="CI13" s="106" t="s">
        <v>363</v>
      </c>
    </row>
    <row r="14" spans="1:87" ht="12.75" customHeight="1">
      <c r="A14" s="99" t="s">
        <v>238</v>
      </c>
      <c r="B14" s="32"/>
      <c r="C14" s="26"/>
      <c r="D14" s="26"/>
      <c r="E14" s="246"/>
      <c r="F14" s="111"/>
      <c r="G14" s="23"/>
      <c r="H14" s="23"/>
      <c r="I14" s="23"/>
      <c r="J14" s="246"/>
      <c r="K14" s="32"/>
      <c r="L14" s="26"/>
      <c r="M14" s="26"/>
      <c r="N14" s="24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112"/>
    </row>
    <row r="15" spans="1:87" ht="12.75" customHeight="1">
      <c r="A15" s="25" t="s">
        <v>126</v>
      </c>
      <c r="B15" s="211">
        <f>B61+B120+B121</f>
        <v>20</v>
      </c>
      <c r="C15" s="45">
        <f>C61+C120+C121</f>
        <v>30</v>
      </c>
      <c r="D15" s="45">
        <f>D61+D120+D121</f>
        <v>41</v>
      </c>
      <c r="E15" s="246"/>
      <c r="F15" s="212">
        <f>F61</f>
        <v>75000</v>
      </c>
      <c r="G15" s="23">
        <f>F15</f>
        <v>75000</v>
      </c>
      <c r="H15" s="23">
        <f>G15*(1+C5)</f>
        <v>77250</v>
      </c>
      <c r="I15" s="23">
        <f>H15*(1+D5)</f>
        <v>79567.5</v>
      </c>
      <c r="J15" s="246"/>
      <c r="K15" s="158">
        <f>SUM(AZ15:BK15)</f>
        <v>756250</v>
      </c>
      <c r="L15" s="153">
        <f>SUM(BL15:BW15)</f>
        <v>1931250</v>
      </c>
      <c r="M15" s="153">
        <f>SUM(BX15:CI15)</f>
        <v>2387025</v>
      </c>
      <c r="N15" s="246"/>
      <c r="O15" s="26">
        <f>O61</f>
        <v>0</v>
      </c>
      <c r="P15" s="26">
        <f aca="true" t="shared" si="0" ref="P15:AX15">P61</f>
        <v>0</v>
      </c>
      <c r="Q15" s="26">
        <f t="shared" si="0"/>
        <v>0</v>
      </c>
      <c r="R15" s="26">
        <f t="shared" si="0"/>
        <v>2</v>
      </c>
      <c r="S15" s="26">
        <f t="shared" si="0"/>
        <v>5</v>
      </c>
      <c r="T15" s="26">
        <f t="shared" si="0"/>
        <v>8</v>
      </c>
      <c r="U15" s="26">
        <f t="shared" si="0"/>
        <v>12</v>
      </c>
      <c r="V15" s="26">
        <f t="shared" si="0"/>
        <v>16</v>
      </c>
      <c r="W15" s="26">
        <f t="shared" si="0"/>
        <v>18</v>
      </c>
      <c r="X15" s="26">
        <f t="shared" si="0"/>
        <v>20</v>
      </c>
      <c r="Y15" s="26">
        <f t="shared" si="0"/>
        <v>20</v>
      </c>
      <c r="Z15" s="26">
        <f t="shared" si="0"/>
        <v>20</v>
      </c>
      <c r="AA15" s="26">
        <f t="shared" si="0"/>
        <v>25</v>
      </c>
      <c r="AB15" s="26">
        <f t="shared" si="0"/>
        <v>25</v>
      </c>
      <c r="AC15" s="26">
        <f t="shared" si="0"/>
        <v>25</v>
      </c>
      <c r="AD15" s="26">
        <f t="shared" si="0"/>
        <v>25</v>
      </c>
      <c r="AE15" s="26">
        <f t="shared" si="0"/>
        <v>25</v>
      </c>
      <c r="AF15" s="26">
        <f t="shared" si="0"/>
        <v>25</v>
      </c>
      <c r="AG15" s="26">
        <f t="shared" si="0"/>
        <v>25</v>
      </c>
      <c r="AH15" s="26">
        <f t="shared" si="0"/>
        <v>25</v>
      </c>
      <c r="AI15" s="26">
        <f t="shared" si="0"/>
        <v>25</v>
      </c>
      <c r="AJ15" s="26">
        <f t="shared" si="0"/>
        <v>25</v>
      </c>
      <c r="AK15" s="26">
        <f t="shared" si="0"/>
        <v>25</v>
      </c>
      <c r="AL15" s="26">
        <f t="shared" si="0"/>
        <v>25</v>
      </c>
      <c r="AM15" s="26">
        <f t="shared" si="0"/>
        <v>30</v>
      </c>
      <c r="AN15" s="26">
        <f t="shared" si="0"/>
        <v>30</v>
      </c>
      <c r="AO15" s="26">
        <f t="shared" si="0"/>
        <v>30</v>
      </c>
      <c r="AP15" s="26">
        <f t="shared" si="0"/>
        <v>30</v>
      </c>
      <c r="AQ15" s="26">
        <f t="shared" si="0"/>
        <v>30</v>
      </c>
      <c r="AR15" s="26">
        <f t="shared" si="0"/>
        <v>30</v>
      </c>
      <c r="AS15" s="26">
        <f t="shared" si="0"/>
        <v>30</v>
      </c>
      <c r="AT15" s="26">
        <f t="shared" si="0"/>
        <v>30</v>
      </c>
      <c r="AU15" s="26">
        <f t="shared" si="0"/>
        <v>30</v>
      </c>
      <c r="AV15" s="26">
        <f t="shared" si="0"/>
        <v>30</v>
      </c>
      <c r="AW15" s="26">
        <f t="shared" si="0"/>
        <v>30</v>
      </c>
      <c r="AX15" s="26">
        <f t="shared" si="0"/>
        <v>30</v>
      </c>
      <c r="AY15" s="26"/>
      <c r="AZ15" s="23">
        <f>($G$15/12)*O15</f>
        <v>0</v>
      </c>
      <c r="BA15" s="23">
        <f aca="true" t="shared" si="1" ref="BA15:BK15">($G$15/12)*P15</f>
        <v>0</v>
      </c>
      <c r="BB15" s="23">
        <f t="shared" si="1"/>
        <v>0</v>
      </c>
      <c r="BC15" s="23">
        <f t="shared" si="1"/>
        <v>12500</v>
      </c>
      <c r="BD15" s="23">
        <f t="shared" si="1"/>
        <v>31250</v>
      </c>
      <c r="BE15" s="23">
        <f t="shared" si="1"/>
        <v>50000</v>
      </c>
      <c r="BF15" s="23">
        <f t="shared" si="1"/>
        <v>75000</v>
      </c>
      <c r="BG15" s="23">
        <f t="shared" si="1"/>
        <v>100000</v>
      </c>
      <c r="BH15" s="23">
        <f t="shared" si="1"/>
        <v>112500</v>
      </c>
      <c r="BI15" s="23">
        <f t="shared" si="1"/>
        <v>125000</v>
      </c>
      <c r="BJ15" s="23">
        <f t="shared" si="1"/>
        <v>125000</v>
      </c>
      <c r="BK15" s="23">
        <f t="shared" si="1"/>
        <v>125000</v>
      </c>
      <c r="BL15" s="23">
        <f>($H$15/12)*AA15</f>
        <v>160937.5</v>
      </c>
      <c r="BM15" s="23">
        <f aca="true" t="shared" si="2" ref="BM15:BW15">($H$15/12)*AB15</f>
        <v>160937.5</v>
      </c>
      <c r="BN15" s="23">
        <f t="shared" si="2"/>
        <v>160937.5</v>
      </c>
      <c r="BO15" s="23">
        <f t="shared" si="2"/>
        <v>160937.5</v>
      </c>
      <c r="BP15" s="23">
        <f t="shared" si="2"/>
        <v>160937.5</v>
      </c>
      <c r="BQ15" s="23">
        <f t="shared" si="2"/>
        <v>160937.5</v>
      </c>
      <c r="BR15" s="23">
        <f t="shared" si="2"/>
        <v>160937.5</v>
      </c>
      <c r="BS15" s="23">
        <f t="shared" si="2"/>
        <v>160937.5</v>
      </c>
      <c r="BT15" s="23">
        <f t="shared" si="2"/>
        <v>160937.5</v>
      </c>
      <c r="BU15" s="23">
        <f t="shared" si="2"/>
        <v>160937.5</v>
      </c>
      <c r="BV15" s="23">
        <f t="shared" si="2"/>
        <v>160937.5</v>
      </c>
      <c r="BW15" s="23">
        <f t="shared" si="2"/>
        <v>160937.5</v>
      </c>
      <c r="BX15" s="23">
        <f>($I$15/12)*AM15</f>
        <v>198918.75</v>
      </c>
      <c r="BY15" s="23">
        <f aca="true" t="shared" si="3" ref="BY15:CI15">($I$15/12)*AN15</f>
        <v>198918.75</v>
      </c>
      <c r="BZ15" s="23">
        <f t="shared" si="3"/>
        <v>198918.75</v>
      </c>
      <c r="CA15" s="23">
        <f t="shared" si="3"/>
        <v>198918.75</v>
      </c>
      <c r="CB15" s="23">
        <f t="shared" si="3"/>
        <v>198918.75</v>
      </c>
      <c r="CC15" s="23">
        <f t="shared" si="3"/>
        <v>198918.75</v>
      </c>
      <c r="CD15" s="23">
        <f t="shared" si="3"/>
        <v>198918.75</v>
      </c>
      <c r="CE15" s="23">
        <f t="shared" si="3"/>
        <v>198918.75</v>
      </c>
      <c r="CF15" s="23">
        <f t="shared" si="3"/>
        <v>198918.75</v>
      </c>
      <c r="CG15" s="23">
        <f t="shared" si="3"/>
        <v>198918.75</v>
      </c>
      <c r="CH15" s="23">
        <f t="shared" si="3"/>
        <v>198918.75</v>
      </c>
      <c r="CI15" s="112">
        <f t="shared" si="3"/>
        <v>198918.75</v>
      </c>
    </row>
    <row r="16" spans="1:114" s="52" customFormat="1" ht="12.75" customHeight="1">
      <c r="A16" s="52" t="s">
        <v>127</v>
      </c>
      <c r="B16" s="33">
        <f>B62</f>
        <v>6</v>
      </c>
      <c r="C16" s="34">
        <f>C62</f>
        <v>6</v>
      </c>
      <c r="D16" s="34">
        <f>D62</f>
        <v>6</v>
      </c>
      <c r="E16" s="248"/>
      <c r="F16" s="213">
        <f>F62</f>
        <v>75000</v>
      </c>
      <c r="G16" s="116">
        <f>F16</f>
        <v>75000</v>
      </c>
      <c r="H16" s="116">
        <f>G16*(1+C5)</f>
        <v>77250</v>
      </c>
      <c r="I16" s="116">
        <f>H16*(1+D5)</f>
        <v>79567.5</v>
      </c>
      <c r="J16" s="248"/>
      <c r="K16" s="214">
        <f>SUM(AZ16:BK16)</f>
        <v>168750</v>
      </c>
      <c r="L16" s="215">
        <f>SUM(BL16:BW16)</f>
        <v>463500</v>
      </c>
      <c r="M16" s="215">
        <f>SUM(BX16:CI16)</f>
        <v>477405</v>
      </c>
      <c r="N16" s="248"/>
      <c r="O16" s="52">
        <f>O62</f>
        <v>0</v>
      </c>
      <c r="P16" s="52">
        <f aca="true" t="shared" si="4" ref="P16:AX16">P62</f>
        <v>0</v>
      </c>
      <c r="Q16" s="52">
        <f t="shared" si="4"/>
        <v>0</v>
      </c>
      <c r="R16" s="52">
        <f t="shared" si="4"/>
        <v>1</v>
      </c>
      <c r="S16" s="52">
        <f t="shared" si="4"/>
        <v>1</v>
      </c>
      <c r="T16" s="52">
        <f t="shared" si="4"/>
        <v>2</v>
      </c>
      <c r="U16" s="52">
        <f t="shared" si="4"/>
        <v>2</v>
      </c>
      <c r="V16" s="52">
        <f t="shared" si="4"/>
        <v>2</v>
      </c>
      <c r="W16" s="52">
        <f t="shared" si="4"/>
        <v>3</v>
      </c>
      <c r="X16" s="52">
        <f t="shared" si="4"/>
        <v>4</v>
      </c>
      <c r="Y16" s="52">
        <f t="shared" si="4"/>
        <v>6</v>
      </c>
      <c r="Z16" s="52">
        <f t="shared" si="4"/>
        <v>6</v>
      </c>
      <c r="AA16" s="52">
        <f t="shared" si="4"/>
        <v>6</v>
      </c>
      <c r="AB16" s="52">
        <f t="shared" si="4"/>
        <v>6</v>
      </c>
      <c r="AC16" s="52">
        <f t="shared" si="4"/>
        <v>6</v>
      </c>
      <c r="AD16" s="52">
        <f t="shared" si="4"/>
        <v>6</v>
      </c>
      <c r="AE16" s="52">
        <f t="shared" si="4"/>
        <v>6</v>
      </c>
      <c r="AF16" s="52">
        <f t="shared" si="4"/>
        <v>6</v>
      </c>
      <c r="AG16" s="52">
        <f t="shared" si="4"/>
        <v>6</v>
      </c>
      <c r="AH16" s="52">
        <f t="shared" si="4"/>
        <v>6</v>
      </c>
      <c r="AI16" s="52">
        <f t="shared" si="4"/>
        <v>6</v>
      </c>
      <c r="AJ16" s="52">
        <f t="shared" si="4"/>
        <v>6</v>
      </c>
      <c r="AK16" s="52">
        <f t="shared" si="4"/>
        <v>6</v>
      </c>
      <c r="AL16" s="52">
        <f t="shared" si="4"/>
        <v>6</v>
      </c>
      <c r="AM16" s="52">
        <f t="shared" si="4"/>
        <v>6</v>
      </c>
      <c r="AN16" s="52">
        <f t="shared" si="4"/>
        <v>6</v>
      </c>
      <c r="AO16" s="52">
        <f t="shared" si="4"/>
        <v>6</v>
      </c>
      <c r="AP16" s="52">
        <f t="shared" si="4"/>
        <v>6</v>
      </c>
      <c r="AQ16" s="52">
        <f t="shared" si="4"/>
        <v>6</v>
      </c>
      <c r="AR16" s="52">
        <f t="shared" si="4"/>
        <v>6</v>
      </c>
      <c r="AS16" s="52">
        <f t="shared" si="4"/>
        <v>6</v>
      </c>
      <c r="AT16" s="52">
        <f t="shared" si="4"/>
        <v>6</v>
      </c>
      <c r="AU16" s="52">
        <f t="shared" si="4"/>
        <v>6</v>
      </c>
      <c r="AV16" s="52">
        <f t="shared" si="4"/>
        <v>6</v>
      </c>
      <c r="AW16" s="52">
        <f t="shared" si="4"/>
        <v>6</v>
      </c>
      <c r="AX16" s="52">
        <f t="shared" si="4"/>
        <v>6</v>
      </c>
      <c r="AZ16" s="116">
        <f>($G$16/12)*O16</f>
        <v>0</v>
      </c>
      <c r="BA16" s="116">
        <f aca="true" t="shared" si="5" ref="BA16:BK16">($G$16/12)*P16</f>
        <v>0</v>
      </c>
      <c r="BB16" s="116">
        <f t="shared" si="5"/>
        <v>0</v>
      </c>
      <c r="BC16" s="116">
        <f t="shared" si="5"/>
        <v>6250</v>
      </c>
      <c r="BD16" s="116">
        <f t="shared" si="5"/>
        <v>6250</v>
      </c>
      <c r="BE16" s="116">
        <f t="shared" si="5"/>
        <v>12500</v>
      </c>
      <c r="BF16" s="116">
        <f t="shared" si="5"/>
        <v>12500</v>
      </c>
      <c r="BG16" s="116">
        <f t="shared" si="5"/>
        <v>12500</v>
      </c>
      <c r="BH16" s="116">
        <f t="shared" si="5"/>
        <v>18750</v>
      </c>
      <c r="BI16" s="116">
        <f t="shared" si="5"/>
        <v>25000</v>
      </c>
      <c r="BJ16" s="116">
        <f t="shared" si="5"/>
        <v>37500</v>
      </c>
      <c r="BK16" s="116">
        <f t="shared" si="5"/>
        <v>37500</v>
      </c>
      <c r="BL16" s="116">
        <f>($H$16/12)*AA16</f>
        <v>38625</v>
      </c>
      <c r="BM16" s="116">
        <f aca="true" t="shared" si="6" ref="BM16:BW16">($H$16/12)*AB16</f>
        <v>38625</v>
      </c>
      <c r="BN16" s="116">
        <f t="shared" si="6"/>
        <v>38625</v>
      </c>
      <c r="BO16" s="116">
        <f t="shared" si="6"/>
        <v>38625</v>
      </c>
      <c r="BP16" s="116">
        <f t="shared" si="6"/>
        <v>38625</v>
      </c>
      <c r="BQ16" s="116">
        <f t="shared" si="6"/>
        <v>38625</v>
      </c>
      <c r="BR16" s="116">
        <f t="shared" si="6"/>
        <v>38625</v>
      </c>
      <c r="BS16" s="116">
        <f t="shared" si="6"/>
        <v>38625</v>
      </c>
      <c r="BT16" s="116">
        <f t="shared" si="6"/>
        <v>38625</v>
      </c>
      <c r="BU16" s="116">
        <f t="shared" si="6"/>
        <v>38625</v>
      </c>
      <c r="BV16" s="116">
        <f t="shared" si="6"/>
        <v>38625</v>
      </c>
      <c r="BW16" s="116">
        <f t="shared" si="6"/>
        <v>38625</v>
      </c>
      <c r="BX16" s="116">
        <f>($I$16/12)*AM16</f>
        <v>39783.75</v>
      </c>
      <c r="BY16" s="116">
        <f aca="true" t="shared" si="7" ref="BY16:CI16">($I$16/12)*AN16</f>
        <v>39783.75</v>
      </c>
      <c r="BZ16" s="116">
        <f t="shared" si="7"/>
        <v>39783.75</v>
      </c>
      <c r="CA16" s="116">
        <f t="shared" si="7"/>
        <v>39783.75</v>
      </c>
      <c r="CB16" s="116">
        <f t="shared" si="7"/>
        <v>39783.75</v>
      </c>
      <c r="CC16" s="116">
        <f t="shared" si="7"/>
        <v>39783.75</v>
      </c>
      <c r="CD16" s="116">
        <f t="shared" si="7"/>
        <v>39783.75</v>
      </c>
      <c r="CE16" s="116">
        <f t="shared" si="7"/>
        <v>39783.75</v>
      </c>
      <c r="CF16" s="116">
        <f t="shared" si="7"/>
        <v>39783.75</v>
      </c>
      <c r="CG16" s="116">
        <f t="shared" si="7"/>
        <v>39783.75</v>
      </c>
      <c r="CH16" s="116">
        <f t="shared" si="7"/>
        <v>39783.75</v>
      </c>
      <c r="CI16" s="119">
        <f t="shared" si="7"/>
        <v>39783.75</v>
      </c>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row>
    <row r="17" spans="1:114" s="52" customFormat="1" ht="12.75" customHeight="1">
      <c r="A17" s="52" t="s">
        <v>195</v>
      </c>
      <c r="B17" s="33">
        <f>SUM(B15:B16)</f>
        <v>26</v>
      </c>
      <c r="C17" s="34">
        <f>SUM(C15:C16)</f>
        <v>36</v>
      </c>
      <c r="D17" s="34">
        <f>SUM(D15:D16)</f>
        <v>47</v>
      </c>
      <c r="E17" s="248"/>
      <c r="F17" s="213"/>
      <c r="G17" s="116"/>
      <c r="H17" s="116"/>
      <c r="I17" s="116"/>
      <c r="J17" s="248"/>
      <c r="K17" s="214">
        <f>SUM(K15:K16)</f>
        <v>925000</v>
      </c>
      <c r="L17" s="215">
        <f>SUM(L15:L16)</f>
        <v>2394750</v>
      </c>
      <c r="M17" s="215">
        <f>SUM(M15:M16)</f>
        <v>2864430</v>
      </c>
      <c r="N17" s="248"/>
      <c r="O17" s="52">
        <f aca="true" t="shared" si="8" ref="O17:AX17">SUM(O15:O16)</f>
        <v>0</v>
      </c>
      <c r="P17" s="52">
        <f t="shared" si="8"/>
        <v>0</v>
      </c>
      <c r="Q17" s="52">
        <f t="shared" si="8"/>
        <v>0</v>
      </c>
      <c r="R17" s="52">
        <f t="shared" si="8"/>
        <v>3</v>
      </c>
      <c r="S17" s="52">
        <f t="shared" si="8"/>
        <v>6</v>
      </c>
      <c r="T17" s="52">
        <f t="shared" si="8"/>
        <v>10</v>
      </c>
      <c r="U17" s="52">
        <f t="shared" si="8"/>
        <v>14</v>
      </c>
      <c r="V17" s="52">
        <f t="shared" si="8"/>
        <v>18</v>
      </c>
      <c r="W17" s="52">
        <f t="shared" si="8"/>
        <v>21</v>
      </c>
      <c r="X17" s="52">
        <f t="shared" si="8"/>
        <v>24</v>
      </c>
      <c r="Y17" s="52">
        <f t="shared" si="8"/>
        <v>26</v>
      </c>
      <c r="Z17" s="52">
        <f t="shared" si="8"/>
        <v>26</v>
      </c>
      <c r="AA17" s="52">
        <f t="shared" si="8"/>
        <v>31</v>
      </c>
      <c r="AB17" s="52">
        <f t="shared" si="8"/>
        <v>31</v>
      </c>
      <c r="AC17" s="52">
        <f t="shared" si="8"/>
        <v>31</v>
      </c>
      <c r="AD17" s="52">
        <f t="shared" si="8"/>
        <v>31</v>
      </c>
      <c r="AE17" s="52">
        <f t="shared" si="8"/>
        <v>31</v>
      </c>
      <c r="AF17" s="52">
        <f t="shared" si="8"/>
        <v>31</v>
      </c>
      <c r="AG17" s="52">
        <f t="shared" si="8"/>
        <v>31</v>
      </c>
      <c r="AH17" s="52">
        <f t="shared" si="8"/>
        <v>31</v>
      </c>
      <c r="AI17" s="52">
        <f t="shared" si="8"/>
        <v>31</v>
      </c>
      <c r="AJ17" s="52">
        <f t="shared" si="8"/>
        <v>31</v>
      </c>
      <c r="AK17" s="52">
        <f t="shared" si="8"/>
        <v>31</v>
      </c>
      <c r="AL17" s="52">
        <f t="shared" si="8"/>
        <v>31</v>
      </c>
      <c r="AM17" s="52">
        <f t="shared" si="8"/>
        <v>36</v>
      </c>
      <c r="AN17" s="52">
        <f t="shared" si="8"/>
        <v>36</v>
      </c>
      <c r="AO17" s="52">
        <f t="shared" si="8"/>
        <v>36</v>
      </c>
      <c r="AP17" s="52">
        <f t="shared" si="8"/>
        <v>36</v>
      </c>
      <c r="AQ17" s="52">
        <f t="shared" si="8"/>
        <v>36</v>
      </c>
      <c r="AR17" s="52">
        <f t="shared" si="8"/>
        <v>36</v>
      </c>
      <c r="AS17" s="52">
        <f t="shared" si="8"/>
        <v>36</v>
      </c>
      <c r="AT17" s="52">
        <f t="shared" si="8"/>
        <v>36</v>
      </c>
      <c r="AU17" s="52">
        <f t="shared" si="8"/>
        <v>36</v>
      </c>
      <c r="AV17" s="52">
        <f t="shared" si="8"/>
        <v>36</v>
      </c>
      <c r="AW17" s="52">
        <f t="shared" si="8"/>
        <v>36</v>
      </c>
      <c r="AX17" s="52">
        <f t="shared" si="8"/>
        <v>36</v>
      </c>
      <c r="AZ17" s="116">
        <f aca="true" t="shared" si="9" ref="AZ17:CI17">SUM(AZ15:AZ16)</f>
        <v>0</v>
      </c>
      <c r="BA17" s="116">
        <f t="shared" si="9"/>
        <v>0</v>
      </c>
      <c r="BB17" s="116">
        <f t="shared" si="9"/>
        <v>0</v>
      </c>
      <c r="BC17" s="116">
        <f t="shared" si="9"/>
        <v>18750</v>
      </c>
      <c r="BD17" s="116">
        <f t="shared" si="9"/>
        <v>37500</v>
      </c>
      <c r="BE17" s="116">
        <f t="shared" si="9"/>
        <v>62500</v>
      </c>
      <c r="BF17" s="116">
        <f t="shared" si="9"/>
        <v>87500</v>
      </c>
      <c r="BG17" s="116">
        <f t="shared" si="9"/>
        <v>112500</v>
      </c>
      <c r="BH17" s="116">
        <f t="shared" si="9"/>
        <v>131250</v>
      </c>
      <c r="BI17" s="116">
        <f t="shared" si="9"/>
        <v>150000</v>
      </c>
      <c r="BJ17" s="116">
        <f t="shared" si="9"/>
        <v>162500</v>
      </c>
      <c r="BK17" s="116">
        <f t="shared" si="9"/>
        <v>162500</v>
      </c>
      <c r="BL17" s="116">
        <f t="shared" si="9"/>
        <v>199562.5</v>
      </c>
      <c r="BM17" s="116">
        <f t="shared" si="9"/>
        <v>199562.5</v>
      </c>
      <c r="BN17" s="116">
        <f t="shared" si="9"/>
        <v>199562.5</v>
      </c>
      <c r="BO17" s="116">
        <f t="shared" si="9"/>
        <v>199562.5</v>
      </c>
      <c r="BP17" s="116">
        <f t="shared" si="9"/>
        <v>199562.5</v>
      </c>
      <c r="BQ17" s="116">
        <f t="shared" si="9"/>
        <v>199562.5</v>
      </c>
      <c r="BR17" s="116">
        <f t="shared" si="9"/>
        <v>199562.5</v>
      </c>
      <c r="BS17" s="116">
        <f t="shared" si="9"/>
        <v>199562.5</v>
      </c>
      <c r="BT17" s="116">
        <f t="shared" si="9"/>
        <v>199562.5</v>
      </c>
      <c r="BU17" s="116">
        <f t="shared" si="9"/>
        <v>199562.5</v>
      </c>
      <c r="BV17" s="116">
        <f t="shared" si="9"/>
        <v>199562.5</v>
      </c>
      <c r="BW17" s="116">
        <f t="shared" si="9"/>
        <v>199562.5</v>
      </c>
      <c r="BX17" s="116">
        <f t="shared" si="9"/>
        <v>238702.5</v>
      </c>
      <c r="BY17" s="116">
        <f t="shared" si="9"/>
        <v>238702.5</v>
      </c>
      <c r="BZ17" s="116">
        <f t="shared" si="9"/>
        <v>238702.5</v>
      </c>
      <c r="CA17" s="116">
        <f t="shared" si="9"/>
        <v>238702.5</v>
      </c>
      <c r="CB17" s="116">
        <f t="shared" si="9"/>
        <v>238702.5</v>
      </c>
      <c r="CC17" s="116">
        <f t="shared" si="9"/>
        <v>238702.5</v>
      </c>
      <c r="CD17" s="116">
        <f t="shared" si="9"/>
        <v>238702.5</v>
      </c>
      <c r="CE17" s="116">
        <f t="shared" si="9"/>
        <v>238702.5</v>
      </c>
      <c r="CF17" s="116">
        <f t="shared" si="9"/>
        <v>238702.5</v>
      </c>
      <c r="CG17" s="116">
        <f t="shared" si="9"/>
        <v>238702.5</v>
      </c>
      <c r="CH17" s="116">
        <f t="shared" si="9"/>
        <v>238702.5</v>
      </c>
      <c r="CI17" s="119">
        <f t="shared" si="9"/>
        <v>238702.5</v>
      </c>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row>
    <row r="18" spans="1:114" s="26" customFormat="1" ht="12.75" customHeight="1">
      <c r="A18" s="45" t="s">
        <v>407</v>
      </c>
      <c r="B18" s="211"/>
      <c r="C18" s="45"/>
      <c r="D18" s="45"/>
      <c r="E18" s="246"/>
      <c r="F18" s="212"/>
      <c r="G18" s="23"/>
      <c r="H18" s="23"/>
      <c r="I18" s="23"/>
      <c r="J18" s="246"/>
      <c r="K18" s="158">
        <f>K17*$B$6</f>
        <v>231250</v>
      </c>
      <c r="L18" s="153">
        <f>L17*$C$6</f>
        <v>598687.5</v>
      </c>
      <c r="M18" s="153">
        <f>M17*$D$6</f>
        <v>716107.5</v>
      </c>
      <c r="N18" s="246"/>
      <c r="AZ18" s="23">
        <f>AZ17*$B$6</f>
        <v>0</v>
      </c>
      <c r="BA18" s="23">
        <f>BA17*$B$6</f>
        <v>0</v>
      </c>
      <c r="BB18" s="23">
        <f>BB17*$B$6</f>
        <v>0</v>
      </c>
      <c r="BC18" s="23">
        <f>BC17*$B$6</f>
        <v>4687.5</v>
      </c>
      <c r="BD18" s="23">
        <f aca="true" t="shared" si="10" ref="BD18:BK18">BD17*$B$6</f>
        <v>9375</v>
      </c>
      <c r="BE18" s="23">
        <f t="shared" si="10"/>
        <v>15625</v>
      </c>
      <c r="BF18" s="23">
        <f t="shared" si="10"/>
        <v>21875</v>
      </c>
      <c r="BG18" s="23">
        <f t="shared" si="10"/>
        <v>28125</v>
      </c>
      <c r="BH18" s="23">
        <f t="shared" si="10"/>
        <v>32812.5</v>
      </c>
      <c r="BI18" s="23">
        <f t="shared" si="10"/>
        <v>37500</v>
      </c>
      <c r="BJ18" s="23">
        <f t="shared" si="10"/>
        <v>40625</v>
      </c>
      <c r="BK18" s="23">
        <f t="shared" si="10"/>
        <v>40625</v>
      </c>
      <c r="BL18" s="23">
        <f aca="true" t="shared" si="11" ref="BL18:BW18">BL17*$C$6</f>
        <v>49890.625</v>
      </c>
      <c r="BM18" s="23">
        <f t="shared" si="11"/>
        <v>49890.625</v>
      </c>
      <c r="BN18" s="23">
        <f t="shared" si="11"/>
        <v>49890.625</v>
      </c>
      <c r="BO18" s="23">
        <f t="shared" si="11"/>
        <v>49890.625</v>
      </c>
      <c r="BP18" s="23">
        <f t="shared" si="11"/>
        <v>49890.625</v>
      </c>
      <c r="BQ18" s="23">
        <f t="shared" si="11"/>
        <v>49890.625</v>
      </c>
      <c r="BR18" s="23">
        <f t="shared" si="11"/>
        <v>49890.625</v>
      </c>
      <c r="BS18" s="23">
        <f t="shared" si="11"/>
        <v>49890.625</v>
      </c>
      <c r="BT18" s="23">
        <f t="shared" si="11"/>
        <v>49890.625</v>
      </c>
      <c r="BU18" s="23">
        <f t="shared" si="11"/>
        <v>49890.625</v>
      </c>
      <c r="BV18" s="23">
        <f t="shared" si="11"/>
        <v>49890.625</v>
      </c>
      <c r="BW18" s="23">
        <f t="shared" si="11"/>
        <v>49890.625</v>
      </c>
      <c r="BX18" s="23">
        <f aca="true" t="shared" si="12" ref="BX18:CI18">BX17*$D$6</f>
        <v>59675.625</v>
      </c>
      <c r="BY18" s="23">
        <f t="shared" si="12"/>
        <v>59675.625</v>
      </c>
      <c r="BZ18" s="23">
        <f t="shared" si="12"/>
        <v>59675.625</v>
      </c>
      <c r="CA18" s="23">
        <f t="shared" si="12"/>
        <v>59675.625</v>
      </c>
      <c r="CB18" s="23">
        <f t="shared" si="12"/>
        <v>59675.625</v>
      </c>
      <c r="CC18" s="23">
        <f t="shared" si="12"/>
        <v>59675.625</v>
      </c>
      <c r="CD18" s="23">
        <f t="shared" si="12"/>
        <v>59675.625</v>
      </c>
      <c r="CE18" s="23">
        <f t="shared" si="12"/>
        <v>59675.625</v>
      </c>
      <c r="CF18" s="23">
        <f t="shared" si="12"/>
        <v>59675.625</v>
      </c>
      <c r="CG18" s="23">
        <f t="shared" si="12"/>
        <v>59675.625</v>
      </c>
      <c r="CH18" s="23">
        <f t="shared" si="12"/>
        <v>59675.625</v>
      </c>
      <c r="CI18" s="112">
        <f t="shared" si="12"/>
        <v>59675.625</v>
      </c>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row>
    <row r="19" spans="1:114" s="26" customFormat="1" ht="12.75" customHeight="1">
      <c r="A19" s="45" t="s">
        <v>327</v>
      </c>
      <c r="B19" s="211"/>
      <c r="C19" s="45"/>
      <c r="D19" s="45"/>
      <c r="E19" s="246"/>
      <c r="F19" s="212"/>
      <c r="G19" s="23"/>
      <c r="H19" s="23"/>
      <c r="I19" s="23"/>
      <c r="J19" s="246"/>
      <c r="K19" s="158">
        <f>K17+K18</f>
        <v>1156250</v>
      </c>
      <c r="L19" s="153">
        <f>L17+L18</f>
        <v>2993437.5</v>
      </c>
      <c r="M19" s="153">
        <f>M17+M18</f>
        <v>3580537.5</v>
      </c>
      <c r="N19" s="246"/>
      <c r="AZ19" s="23">
        <f>AZ17+AZ18</f>
        <v>0</v>
      </c>
      <c r="BA19" s="23">
        <f aca="true" t="shared" si="13" ref="BA19:CI19">BA17+BA18</f>
        <v>0</v>
      </c>
      <c r="BB19" s="23">
        <f t="shared" si="13"/>
        <v>0</v>
      </c>
      <c r="BC19" s="23">
        <f t="shared" si="13"/>
        <v>23437.5</v>
      </c>
      <c r="BD19" s="23">
        <f t="shared" si="13"/>
        <v>46875</v>
      </c>
      <c r="BE19" s="23">
        <f t="shared" si="13"/>
        <v>78125</v>
      </c>
      <c r="BF19" s="23">
        <f t="shared" si="13"/>
        <v>109375</v>
      </c>
      <c r="BG19" s="23">
        <f t="shared" si="13"/>
        <v>140625</v>
      </c>
      <c r="BH19" s="23">
        <f t="shared" si="13"/>
        <v>164062.5</v>
      </c>
      <c r="BI19" s="23">
        <f t="shared" si="13"/>
        <v>187500</v>
      </c>
      <c r="BJ19" s="23">
        <f t="shared" si="13"/>
        <v>203125</v>
      </c>
      <c r="BK19" s="23">
        <f t="shared" si="13"/>
        <v>203125</v>
      </c>
      <c r="BL19" s="23">
        <f t="shared" si="13"/>
        <v>249453.125</v>
      </c>
      <c r="BM19" s="23">
        <f t="shared" si="13"/>
        <v>249453.125</v>
      </c>
      <c r="BN19" s="23">
        <f t="shared" si="13"/>
        <v>249453.125</v>
      </c>
      <c r="BO19" s="23">
        <f t="shared" si="13"/>
        <v>249453.125</v>
      </c>
      <c r="BP19" s="23">
        <f t="shared" si="13"/>
        <v>249453.125</v>
      </c>
      <c r="BQ19" s="23">
        <f t="shared" si="13"/>
        <v>249453.125</v>
      </c>
      <c r="BR19" s="23">
        <f t="shared" si="13"/>
        <v>249453.125</v>
      </c>
      <c r="BS19" s="23">
        <f t="shared" si="13"/>
        <v>249453.125</v>
      </c>
      <c r="BT19" s="23">
        <f t="shared" si="13"/>
        <v>249453.125</v>
      </c>
      <c r="BU19" s="23">
        <f t="shared" si="13"/>
        <v>249453.125</v>
      </c>
      <c r="BV19" s="23">
        <f t="shared" si="13"/>
        <v>249453.125</v>
      </c>
      <c r="BW19" s="23">
        <f t="shared" si="13"/>
        <v>249453.125</v>
      </c>
      <c r="BX19" s="23">
        <f t="shared" si="13"/>
        <v>298378.125</v>
      </c>
      <c r="BY19" s="23">
        <f t="shared" si="13"/>
        <v>298378.125</v>
      </c>
      <c r="BZ19" s="23">
        <f t="shared" si="13"/>
        <v>298378.125</v>
      </c>
      <c r="CA19" s="23">
        <f t="shared" si="13"/>
        <v>298378.125</v>
      </c>
      <c r="CB19" s="23">
        <f t="shared" si="13"/>
        <v>298378.125</v>
      </c>
      <c r="CC19" s="23">
        <f t="shared" si="13"/>
        <v>298378.125</v>
      </c>
      <c r="CD19" s="23">
        <f t="shared" si="13"/>
        <v>298378.125</v>
      </c>
      <c r="CE19" s="23">
        <f t="shared" si="13"/>
        <v>298378.125</v>
      </c>
      <c r="CF19" s="23">
        <f t="shared" si="13"/>
        <v>298378.125</v>
      </c>
      <c r="CG19" s="23">
        <f t="shared" si="13"/>
        <v>298378.125</v>
      </c>
      <c r="CH19" s="23">
        <f t="shared" si="13"/>
        <v>298378.125</v>
      </c>
      <c r="CI19" s="112">
        <f t="shared" si="13"/>
        <v>298378.125</v>
      </c>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row>
    <row r="20" spans="2:87" ht="12.75" customHeight="1">
      <c r="B20" s="211"/>
      <c r="C20" s="45"/>
      <c r="D20" s="45"/>
      <c r="E20" s="246"/>
      <c r="F20" s="212"/>
      <c r="G20" s="23"/>
      <c r="H20" s="23"/>
      <c r="I20" s="23"/>
      <c r="J20" s="246"/>
      <c r="K20" s="32"/>
      <c r="L20" s="26"/>
      <c r="M20" s="26"/>
      <c r="N20" s="24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112"/>
    </row>
    <row r="21" spans="1:87" ht="12.75" customHeight="1">
      <c r="A21" s="99" t="s">
        <v>242</v>
      </c>
      <c r="B21" s="211"/>
      <c r="C21" s="45"/>
      <c r="D21" s="45"/>
      <c r="E21" s="246"/>
      <c r="F21" s="212"/>
      <c r="G21" s="23"/>
      <c r="H21" s="23"/>
      <c r="I21" s="23"/>
      <c r="J21" s="246"/>
      <c r="K21" s="32"/>
      <c r="L21" s="26"/>
      <c r="M21" s="26"/>
      <c r="N21" s="24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112"/>
    </row>
    <row r="22" spans="1:87" s="26" customFormat="1" ht="12.75" customHeight="1">
      <c r="A22" s="26" t="s">
        <v>239</v>
      </c>
      <c r="B22" s="211">
        <f>B68</f>
        <v>1</v>
      </c>
      <c r="C22" s="45">
        <f>C68</f>
        <v>1</v>
      </c>
      <c r="D22" s="45">
        <f>D68</f>
        <v>1</v>
      </c>
      <c r="E22" s="246"/>
      <c r="F22" s="212">
        <f>F68</f>
        <v>75000</v>
      </c>
      <c r="G22" s="212">
        <f>G68</f>
        <v>75000</v>
      </c>
      <c r="H22" s="212">
        <f>H68</f>
        <v>78750</v>
      </c>
      <c r="I22" s="212">
        <f>I68</f>
        <v>81112.5</v>
      </c>
      <c r="J22" s="246"/>
      <c r="K22" s="158">
        <f>SUM(AZ22:BK22)</f>
        <v>75000</v>
      </c>
      <c r="L22" s="153">
        <f>SUM(BL22:BW22)</f>
        <v>78750</v>
      </c>
      <c r="M22" s="153">
        <f>SUM(BX22:CI22)</f>
        <v>81112.5</v>
      </c>
      <c r="N22" s="246"/>
      <c r="O22" s="26">
        <f>O68</f>
        <v>1</v>
      </c>
      <c r="P22" s="26">
        <f aca="true" t="shared" si="14" ref="P22:AX22">P68</f>
        <v>1</v>
      </c>
      <c r="Q22" s="26">
        <f t="shared" si="14"/>
        <v>1</v>
      </c>
      <c r="R22" s="26">
        <f t="shared" si="14"/>
        <v>1</v>
      </c>
      <c r="S22" s="26">
        <f t="shared" si="14"/>
        <v>1</v>
      </c>
      <c r="T22" s="26">
        <f t="shared" si="14"/>
        <v>1</v>
      </c>
      <c r="U22" s="26">
        <f t="shared" si="14"/>
        <v>1</v>
      </c>
      <c r="V22" s="26">
        <f t="shared" si="14"/>
        <v>1</v>
      </c>
      <c r="W22" s="26">
        <f t="shared" si="14"/>
        <v>1</v>
      </c>
      <c r="X22" s="26">
        <f t="shared" si="14"/>
        <v>1</v>
      </c>
      <c r="Y22" s="26">
        <f t="shared" si="14"/>
        <v>1</v>
      </c>
      <c r="Z22" s="26">
        <f t="shared" si="14"/>
        <v>1</v>
      </c>
      <c r="AA22" s="26">
        <f t="shared" si="14"/>
        <v>1</v>
      </c>
      <c r="AB22" s="26">
        <f t="shared" si="14"/>
        <v>1</v>
      </c>
      <c r="AC22" s="26">
        <f t="shared" si="14"/>
        <v>1</v>
      </c>
      <c r="AD22" s="26">
        <f t="shared" si="14"/>
        <v>1</v>
      </c>
      <c r="AE22" s="26">
        <f t="shared" si="14"/>
        <v>1</v>
      </c>
      <c r="AF22" s="26">
        <f t="shared" si="14"/>
        <v>1</v>
      </c>
      <c r="AG22" s="26">
        <f t="shared" si="14"/>
        <v>1</v>
      </c>
      <c r="AH22" s="26">
        <f t="shared" si="14"/>
        <v>1</v>
      </c>
      <c r="AI22" s="26">
        <f t="shared" si="14"/>
        <v>1</v>
      </c>
      <c r="AJ22" s="26">
        <f t="shared" si="14"/>
        <v>1</v>
      </c>
      <c r="AK22" s="26">
        <f t="shared" si="14"/>
        <v>1</v>
      </c>
      <c r="AL22" s="26">
        <f t="shared" si="14"/>
        <v>1</v>
      </c>
      <c r="AM22" s="26">
        <f t="shared" si="14"/>
        <v>1</v>
      </c>
      <c r="AN22" s="26">
        <f t="shared" si="14"/>
        <v>1</v>
      </c>
      <c r="AO22" s="26">
        <f t="shared" si="14"/>
        <v>1</v>
      </c>
      <c r="AP22" s="26">
        <f t="shared" si="14"/>
        <v>1</v>
      </c>
      <c r="AQ22" s="26">
        <f t="shared" si="14"/>
        <v>1</v>
      </c>
      <c r="AR22" s="26">
        <f t="shared" si="14"/>
        <v>1</v>
      </c>
      <c r="AS22" s="26">
        <f t="shared" si="14"/>
        <v>1</v>
      </c>
      <c r="AT22" s="26">
        <f t="shared" si="14"/>
        <v>1</v>
      </c>
      <c r="AU22" s="26">
        <f t="shared" si="14"/>
        <v>1</v>
      </c>
      <c r="AV22" s="26">
        <f t="shared" si="14"/>
        <v>1</v>
      </c>
      <c r="AW22" s="26">
        <f t="shared" si="14"/>
        <v>1</v>
      </c>
      <c r="AX22" s="26">
        <f t="shared" si="14"/>
        <v>1</v>
      </c>
      <c r="AZ22" s="23">
        <f>($G$22/12)*O22</f>
        <v>6250</v>
      </c>
      <c r="BA22" s="23">
        <f aca="true" t="shared" si="15" ref="BA22:BK22">($G$22/12)*P22</f>
        <v>6250</v>
      </c>
      <c r="BB22" s="23">
        <f t="shared" si="15"/>
        <v>6250</v>
      </c>
      <c r="BC22" s="23">
        <f t="shared" si="15"/>
        <v>6250</v>
      </c>
      <c r="BD22" s="23">
        <f t="shared" si="15"/>
        <v>6250</v>
      </c>
      <c r="BE22" s="23">
        <f t="shared" si="15"/>
        <v>6250</v>
      </c>
      <c r="BF22" s="23">
        <f t="shared" si="15"/>
        <v>6250</v>
      </c>
      <c r="BG22" s="23">
        <f t="shared" si="15"/>
        <v>6250</v>
      </c>
      <c r="BH22" s="23">
        <f t="shared" si="15"/>
        <v>6250</v>
      </c>
      <c r="BI22" s="23">
        <f t="shared" si="15"/>
        <v>6250</v>
      </c>
      <c r="BJ22" s="23">
        <f t="shared" si="15"/>
        <v>6250</v>
      </c>
      <c r="BK22" s="23">
        <f t="shared" si="15"/>
        <v>6250</v>
      </c>
      <c r="BL22" s="23">
        <f>($H$22/12)*AA22</f>
        <v>6562.5</v>
      </c>
      <c r="BM22" s="23">
        <f aca="true" t="shared" si="16" ref="BM22:BW22">($H$22/12)*AB22</f>
        <v>6562.5</v>
      </c>
      <c r="BN22" s="23">
        <f t="shared" si="16"/>
        <v>6562.5</v>
      </c>
      <c r="BO22" s="23">
        <f t="shared" si="16"/>
        <v>6562.5</v>
      </c>
      <c r="BP22" s="23">
        <f t="shared" si="16"/>
        <v>6562.5</v>
      </c>
      <c r="BQ22" s="23">
        <f t="shared" si="16"/>
        <v>6562.5</v>
      </c>
      <c r="BR22" s="23">
        <f t="shared" si="16"/>
        <v>6562.5</v>
      </c>
      <c r="BS22" s="23">
        <f t="shared" si="16"/>
        <v>6562.5</v>
      </c>
      <c r="BT22" s="23">
        <f t="shared" si="16"/>
        <v>6562.5</v>
      </c>
      <c r="BU22" s="23">
        <f t="shared" si="16"/>
        <v>6562.5</v>
      </c>
      <c r="BV22" s="23">
        <f t="shared" si="16"/>
        <v>6562.5</v>
      </c>
      <c r="BW22" s="23">
        <f t="shared" si="16"/>
        <v>6562.5</v>
      </c>
      <c r="BX22" s="23">
        <f>($I$22/12)*AM22</f>
        <v>6759.375</v>
      </c>
      <c r="BY22" s="23">
        <f aca="true" t="shared" si="17" ref="BY22:CI22">($I$22/12)*AN22</f>
        <v>6759.375</v>
      </c>
      <c r="BZ22" s="23">
        <f t="shared" si="17"/>
        <v>6759.375</v>
      </c>
      <c r="CA22" s="23">
        <f t="shared" si="17"/>
        <v>6759.375</v>
      </c>
      <c r="CB22" s="23">
        <f t="shared" si="17"/>
        <v>6759.375</v>
      </c>
      <c r="CC22" s="23">
        <f t="shared" si="17"/>
        <v>6759.375</v>
      </c>
      <c r="CD22" s="23">
        <f t="shared" si="17"/>
        <v>6759.375</v>
      </c>
      <c r="CE22" s="23">
        <f t="shared" si="17"/>
        <v>6759.375</v>
      </c>
      <c r="CF22" s="23">
        <f t="shared" si="17"/>
        <v>6759.375</v>
      </c>
      <c r="CG22" s="23">
        <f t="shared" si="17"/>
        <v>6759.375</v>
      </c>
      <c r="CH22" s="23">
        <f t="shared" si="17"/>
        <v>6759.375</v>
      </c>
      <c r="CI22" s="112">
        <f t="shared" si="17"/>
        <v>6759.375</v>
      </c>
    </row>
    <row r="23" spans="1:87" s="26" customFormat="1" ht="12.75" customHeight="1">
      <c r="A23" s="45" t="s">
        <v>128</v>
      </c>
      <c r="B23" s="211">
        <f>B122</f>
        <v>0</v>
      </c>
      <c r="C23" s="45">
        <f>C122</f>
        <v>2</v>
      </c>
      <c r="D23" s="45">
        <f>D122</f>
        <v>6</v>
      </c>
      <c r="E23" s="246"/>
      <c r="F23" s="212">
        <f>F122</f>
        <v>24000</v>
      </c>
      <c r="G23" s="23">
        <f>F23</f>
        <v>24000</v>
      </c>
      <c r="H23" s="23">
        <f>G23*(1+$C$5)</f>
        <v>24720</v>
      </c>
      <c r="I23" s="23">
        <f>H23*(1+$D$5)</f>
        <v>25461.600000000002</v>
      </c>
      <c r="J23" s="246"/>
      <c r="K23" s="158"/>
      <c r="L23" s="153"/>
      <c r="M23" s="153"/>
      <c r="N23" s="246"/>
      <c r="O23" s="26">
        <f>$B$23</f>
        <v>0</v>
      </c>
      <c r="P23" s="26">
        <f aca="true" t="shared" si="18" ref="P23:Z23">$B$23</f>
        <v>0</v>
      </c>
      <c r="Q23" s="26">
        <f t="shared" si="18"/>
        <v>0</v>
      </c>
      <c r="R23" s="26">
        <f t="shared" si="18"/>
        <v>0</v>
      </c>
      <c r="S23" s="26">
        <f t="shared" si="18"/>
        <v>0</v>
      </c>
      <c r="T23" s="26">
        <f t="shared" si="18"/>
        <v>0</v>
      </c>
      <c r="U23" s="26">
        <f t="shared" si="18"/>
        <v>0</v>
      </c>
      <c r="V23" s="26">
        <f t="shared" si="18"/>
        <v>0</v>
      </c>
      <c r="W23" s="26">
        <f t="shared" si="18"/>
        <v>0</v>
      </c>
      <c r="X23" s="26">
        <f t="shared" si="18"/>
        <v>0</v>
      </c>
      <c r="Y23" s="26">
        <f t="shared" si="18"/>
        <v>0</v>
      </c>
      <c r="Z23" s="26">
        <f t="shared" si="18"/>
        <v>0</v>
      </c>
      <c r="AA23" s="26">
        <f>$C$23</f>
        <v>2</v>
      </c>
      <c r="AB23" s="26">
        <f aca="true" t="shared" si="19" ref="AB23:AL23">$C$23</f>
        <v>2</v>
      </c>
      <c r="AC23" s="26">
        <f t="shared" si="19"/>
        <v>2</v>
      </c>
      <c r="AD23" s="26">
        <f t="shared" si="19"/>
        <v>2</v>
      </c>
      <c r="AE23" s="26">
        <f t="shared" si="19"/>
        <v>2</v>
      </c>
      <c r="AF23" s="26">
        <f t="shared" si="19"/>
        <v>2</v>
      </c>
      <c r="AG23" s="26">
        <f t="shared" si="19"/>
        <v>2</v>
      </c>
      <c r="AH23" s="26">
        <f t="shared" si="19"/>
        <v>2</v>
      </c>
      <c r="AI23" s="26">
        <f t="shared" si="19"/>
        <v>2</v>
      </c>
      <c r="AJ23" s="26">
        <f t="shared" si="19"/>
        <v>2</v>
      </c>
      <c r="AK23" s="26">
        <f t="shared" si="19"/>
        <v>2</v>
      </c>
      <c r="AL23" s="26">
        <f t="shared" si="19"/>
        <v>2</v>
      </c>
      <c r="AM23" s="26">
        <f>$D$23</f>
        <v>6</v>
      </c>
      <c r="AN23" s="26">
        <f aca="true" t="shared" si="20" ref="AN23:AX23">$D$23</f>
        <v>6</v>
      </c>
      <c r="AO23" s="26">
        <f t="shared" si="20"/>
        <v>6</v>
      </c>
      <c r="AP23" s="26">
        <f t="shared" si="20"/>
        <v>6</v>
      </c>
      <c r="AQ23" s="26">
        <f t="shared" si="20"/>
        <v>6</v>
      </c>
      <c r="AR23" s="26">
        <f t="shared" si="20"/>
        <v>6</v>
      </c>
      <c r="AS23" s="26">
        <f t="shared" si="20"/>
        <v>6</v>
      </c>
      <c r="AT23" s="26">
        <f t="shared" si="20"/>
        <v>6</v>
      </c>
      <c r="AU23" s="26">
        <f t="shared" si="20"/>
        <v>6</v>
      </c>
      <c r="AV23" s="26">
        <f t="shared" si="20"/>
        <v>6</v>
      </c>
      <c r="AW23" s="26">
        <f t="shared" si="20"/>
        <v>6</v>
      </c>
      <c r="AX23" s="26">
        <f t="shared" si="20"/>
        <v>6</v>
      </c>
      <c r="AZ23" s="23">
        <f>($G$23/12)*O23</f>
        <v>0</v>
      </c>
      <c r="BA23" s="23">
        <f aca="true" t="shared" si="21" ref="BA23:BK23">($G$23/12)*P23</f>
        <v>0</v>
      </c>
      <c r="BB23" s="23">
        <f t="shared" si="21"/>
        <v>0</v>
      </c>
      <c r="BC23" s="23">
        <f t="shared" si="21"/>
        <v>0</v>
      </c>
      <c r="BD23" s="23">
        <f t="shared" si="21"/>
        <v>0</v>
      </c>
      <c r="BE23" s="23">
        <f t="shared" si="21"/>
        <v>0</v>
      </c>
      <c r="BF23" s="23">
        <f t="shared" si="21"/>
        <v>0</v>
      </c>
      <c r="BG23" s="23">
        <f t="shared" si="21"/>
        <v>0</v>
      </c>
      <c r="BH23" s="23">
        <f t="shared" si="21"/>
        <v>0</v>
      </c>
      <c r="BI23" s="23">
        <f t="shared" si="21"/>
        <v>0</v>
      </c>
      <c r="BJ23" s="23">
        <f t="shared" si="21"/>
        <v>0</v>
      </c>
      <c r="BK23" s="23">
        <f t="shared" si="21"/>
        <v>0</v>
      </c>
      <c r="BL23" s="23">
        <f>($H$23/12)*AA23</f>
        <v>4120</v>
      </c>
      <c r="BM23" s="23">
        <f aca="true" t="shared" si="22" ref="BM23:BW23">($H$23/12)*AB23</f>
        <v>4120</v>
      </c>
      <c r="BN23" s="23">
        <f t="shared" si="22"/>
        <v>4120</v>
      </c>
      <c r="BO23" s="23">
        <f t="shared" si="22"/>
        <v>4120</v>
      </c>
      <c r="BP23" s="23">
        <f t="shared" si="22"/>
        <v>4120</v>
      </c>
      <c r="BQ23" s="23">
        <f t="shared" si="22"/>
        <v>4120</v>
      </c>
      <c r="BR23" s="23">
        <f t="shared" si="22"/>
        <v>4120</v>
      </c>
      <c r="BS23" s="23">
        <f t="shared" si="22"/>
        <v>4120</v>
      </c>
      <c r="BT23" s="23">
        <f t="shared" si="22"/>
        <v>4120</v>
      </c>
      <c r="BU23" s="23">
        <f t="shared" si="22"/>
        <v>4120</v>
      </c>
      <c r="BV23" s="23">
        <f t="shared" si="22"/>
        <v>4120</v>
      </c>
      <c r="BW23" s="23">
        <f t="shared" si="22"/>
        <v>4120</v>
      </c>
      <c r="BX23" s="23">
        <f>($I$23/12)*AM23</f>
        <v>12730.800000000001</v>
      </c>
      <c r="BY23" s="23">
        <f aca="true" t="shared" si="23" ref="BY23:CI23">($I$23/12)*AN23</f>
        <v>12730.800000000001</v>
      </c>
      <c r="BZ23" s="23">
        <f t="shared" si="23"/>
        <v>12730.800000000001</v>
      </c>
      <c r="CA23" s="23">
        <f t="shared" si="23"/>
        <v>12730.800000000001</v>
      </c>
      <c r="CB23" s="23">
        <f t="shared" si="23"/>
        <v>12730.800000000001</v>
      </c>
      <c r="CC23" s="23">
        <f t="shared" si="23"/>
        <v>12730.800000000001</v>
      </c>
      <c r="CD23" s="23">
        <f t="shared" si="23"/>
        <v>12730.800000000001</v>
      </c>
      <c r="CE23" s="23">
        <f t="shared" si="23"/>
        <v>12730.800000000001</v>
      </c>
      <c r="CF23" s="23">
        <f t="shared" si="23"/>
        <v>12730.800000000001</v>
      </c>
      <c r="CG23" s="23">
        <f t="shared" si="23"/>
        <v>12730.800000000001</v>
      </c>
      <c r="CH23" s="23">
        <f t="shared" si="23"/>
        <v>12730.800000000001</v>
      </c>
      <c r="CI23" s="112">
        <f t="shared" si="23"/>
        <v>12730.800000000001</v>
      </c>
    </row>
    <row r="24" spans="1:87" s="52" customFormat="1" ht="12.75" customHeight="1">
      <c r="A24" s="34" t="s">
        <v>129</v>
      </c>
      <c r="B24" s="33">
        <f>B69</f>
        <v>5</v>
      </c>
      <c r="C24" s="34">
        <f>C69</f>
        <v>7</v>
      </c>
      <c r="D24" s="34">
        <f>D69</f>
        <v>9</v>
      </c>
      <c r="E24" s="248"/>
      <c r="F24" s="213">
        <f>F69</f>
        <v>75000</v>
      </c>
      <c r="G24" s="213">
        <f>G69</f>
        <v>75000</v>
      </c>
      <c r="H24" s="213">
        <f>H69</f>
        <v>78750</v>
      </c>
      <c r="I24" s="213">
        <f>I69</f>
        <v>81112.5</v>
      </c>
      <c r="J24" s="248"/>
      <c r="K24" s="214">
        <f>SUM(AZ24:BK24)</f>
        <v>300000</v>
      </c>
      <c r="L24" s="215">
        <f>SUM(BL24:BW24)</f>
        <v>551250</v>
      </c>
      <c r="M24" s="215">
        <f>SUM(BX24:CI24)</f>
        <v>730012.5</v>
      </c>
      <c r="N24" s="248"/>
      <c r="O24" s="52">
        <f>O69</f>
        <v>0</v>
      </c>
      <c r="P24" s="52">
        <f aca="true" t="shared" si="24" ref="P24:AX24">P69</f>
        <v>1</v>
      </c>
      <c r="Q24" s="52">
        <f t="shared" si="24"/>
        <v>2</v>
      </c>
      <c r="R24" s="52">
        <f t="shared" si="24"/>
        <v>5</v>
      </c>
      <c r="S24" s="52">
        <f t="shared" si="24"/>
        <v>5</v>
      </c>
      <c r="T24" s="52">
        <f t="shared" si="24"/>
        <v>5</v>
      </c>
      <c r="U24" s="52">
        <f t="shared" si="24"/>
        <v>5</v>
      </c>
      <c r="V24" s="52">
        <f t="shared" si="24"/>
        <v>5</v>
      </c>
      <c r="W24" s="52">
        <f t="shared" si="24"/>
        <v>5</v>
      </c>
      <c r="X24" s="52">
        <f t="shared" si="24"/>
        <v>5</v>
      </c>
      <c r="Y24" s="52">
        <f t="shared" si="24"/>
        <v>5</v>
      </c>
      <c r="Z24" s="52">
        <f t="shared" si="24"/>
        <v>5</v>
      </c>
      <c r="AA24" s="52">
        <f t="shared" si="24"/>
        <v>7</v>
      </c>
      <c r="AB24" s="52">
        <f t="shared" si="24"/>
        <v>7</v>
      </c>
      <c r="AC24" s="52">
        <f t="shared" si="24"/>
        <v>7</v>
      </c>
      <c r="AD24" s="52">
        <f t="shared" si="24"/>
        <v>7</v>
      </c>
      <c r="AE24" s="52">
        <f t="shared" si="24"/>
        <v>7</v>
      </c>
      <c r="AF24" s="52">
        <f t="shared" si="24"/>
        <v>7</v>
      </c>
      <c r="AG24" s="52">
        <f t="shared" si="24"/>
        <v>7</v>
      </c>
      <c r="AH24" s="52">
        <f t="shared" si="24"/>
        <v>7</v>
      </c>
      <c r="AI24" s="52">
        <f t="shared" si="24"/>
        <v>7</v>
      </c>
      <c r="AJ24" s="52">
        <f t="shared" si="24"/>
        <v>7</v>
      </c>
      <c r="AK24" s="52">
        <f t="shared" si="24"/>
        <v>7</v>
      </c>
      <c r="AL24" s="52">
        <f t="shared" si="24"/>
        <v>7</v>
      </c>
      <c r="AM24" s="52">
        <f t="shared" si="24"/>
        <v>9</v>
      </c>
      <c r="AN24" s="52">
        <f t="shared" si="24"/>
        <v>9</v>
      </c>
      <c r="AO24" s="52">
        <f t="shared" si="24"/>
        <v>9</v>
      </c>
      <c r="AP24" s="52">
        <f t="shared" si="24"/>
        <v>9</v>
      </c>
      <c r="AQ24" s="52">
        <f t="shared" si="24"/>
        <v>9</v>
      </c>
      <c r="AR24" s="52">
        <f t="shared" si="24"/>
        <v>9</v>
      </c>
      <c r="AS24" s="52">
        <f t="shared" si="24"/>
        <v>9</v>
      </c>
      <c r="AT24" s="52">
        <f t="shared" si="24"/>
        <v>9</v>
      </c>
      <c r="AU24" s="52">
        <f t="shared" si="24"/>
        <v>9</v>
      </c>
      <c r="AV24" s="52">
        <f t="shared" si="24"/>
        <v>9</v>
      </c>
      <c r="AW24" s="52">
        <f t="shared" si="24"/>
        <v>9</v>
      </c>
      <c r="AX24" s="52">
        <f t="shared" si="24"/>
        <v>9</v>
      </c>
      <c r="AZ24" s="116">
        <f>($G$24/12)*O24</f>
        <v>0</v>
      </c>
      <c r="BA24" s="116">
        <f aca="true" t="shared" si="25" ref="BA24:BK24">($G$24/12)*P24</f>
        <v>6250</v>
      </c>
      <c r="BB24" s="116">
        <f t="shared" si="25"/>
        <v>12500</v>
      </c>
      <c r="BC24" s="116">
        <f t="shared" si="25"/>
        <v>31250</v>
      </c>
      <c r="BD24" s="116">
        <f t="shared" si="25"/>
        <v>31250</v>
      </c>
      <c r="BE24" s="116">
        <f t="shared" si="25"/>
        <v>31250</v>
      </c>
      <c r="BF24" s="116">
        <f t="shared" si="25"/>
        <v>31250</v>
      </c>
      <c r="BG24" s="116">
        <f t="shared" si="25"/>
        <v>31250</v>
      </c>
      <c r="BH24" s="116">
        <f t="shared" si="25"/>
        <v>31250</v>
      </c>
      <c r="BI24" s="116">
        <f t="shared" si="25"/>
        <v>31250</v>
      </c>
      <c r="BJ24" s="116">
        <f t="shared" si="25"/>
        <v>31250</v>
      </c>
      <c r="BK24" s="116">
        <f t="shared" si="25"/>
        <v>31250</v>
      </c>
      <c r="BL24" s="116">
        <f>($H$24/12)*AA24</f>
        <v>45937.5</v>
      </c>
      <c r="BM24" s="116">
        <f aca="true" t="shared" si="26" ref="BM24:BW24">($H$24/12)*AB24</f>
        <v>45937.5</v>
      </c>
      <c r="BN24" s="116">
        <f t="shared" si="26"/>
        <v>45937.5</v>
      </c>
      <c r="BO24" s="116">
        <f t="shared" si="26"/>
        <v>45937.5</v>
      </c>
      <c r="BP24" s="116">
        <f t="shared" si="26"/>
        <v>45937.5</v>
      </c>
      <c r="BQ24" s="116">
        <f t="shared" si="26"/>
        <v>45937.5</v>
      </c>
      <c r="BR24" s="116">
        <f t="shared" si="26"/>
        <v>45937.5</v>
      </c>
      <c r="BS24" s="116">
        <f t="shared" si="26"/>
        <v>45937.5</v>
      </c>
      <c r="BT24" s="116">
        <f t="shared" si="26"/>
        <v>45937.5</v>
      </c>
      <c r="BU24" s="116">
        <f t="shared" si="26"/>
        <v>45937.5</v>
      </c>
      <c r="BV24" s="116">
        <f t="shared" si="26"/>
        <v>45937.5</v>
      </c>
      <c r="BW24" s="116">
        <f t="shared" si="26"/>
        <v>45937.5</v>
      </c>
      <c r="BX24" s="116">
        <f>($I$24/12)*AM24</f>
        <v>60834.375</v>
      </c>
      <c r="BY24" s="116">
        <f aca="true" t="shared" si="27" ref="BY24:CI24">($I$24/12)*AN24</f>
        <v>60834.375</v>
      </c>
      <c r="BZ24" s="116">
        <f t="shared" si="27"/>
        <v>60834.375</v>
      </c>
      <c r="CA24" s="116">
        <f t="shared" si="27"/>
        <v>60834.375</v>
      </c>
      <c r="CB24" s="116">
        <f t="shared" si="27"/>
        <v>60834.375</v>
      </c>
      <c r="CC24" s="116">
        <f t="shared" si="27"/>
        <v>60834.375</v>
      </c>
      <c r="CD24" s="116">
        <f t="shared" si="27"/>
        <v>60834.375</v>
      </c>
      <c r="CE24" s="116">
        <f t="shared" si="27"/>
        <v>60834.375</v>
      </c>
      <c r="CF24" s="116">
        <f t="shared" si="27"/>
        <v>60834.375</v>
      </c>
      <c r="CG24" s="116">
        <f t="shared" si="27"/>
        <v>60834.375</v>
      </c>
      <c r="CH24" s="116">
        <f t="shared" si="27"/>
        <v>60834.375</v>
      </c>
      <c r="CI24" s="119">
        <f t="shared" si="27"/>
        <v>60834.375</v>
      </c>
    </row>
    <row r="25" spans="1:114" s="52" customFormat="1" ht="12.75" customHeight="1">
      <c r="A25" s="52" t="s">
        <v>193</v>
      </c>
      <c r="B25" s="33">
        <f>SUM(B22:B24)</f>
        <v>6</v>
      </c>
      <c r="C25" s="34">
        <f>SUM(C22:C24)</f>
        <v>10</v>
      </c>
      <c r="D25" s="34">
        <f>SUM(D22:D24)</f>
        <v>16</v>
      </c>
      <c r="E25" s="248"/>
      <c r="F25" s="213"/>
      <c r="G25" s="116"/>
      <c r="H25" s="116"/>
      <c r="I25" s="116"/>
      <c r="J25" s="248"/>
      <c r="K25" s="214">
        <f>SUM(K22:K24)</f>
        <v>375000</v>
      </c>
      <c r="L25" s="215">
        <f>SUM(L22:L24)</f>
        <v>630000</v>
      </c>
      <c r="M25" s="215">
        <f>SUM(M22:M24)</f>
        <v>811125</v>
      </c>
      <c r="N25" s="248"/>
      <c r="O25" s="52">
        <f aca="true" t="shared" si="28" ref="O25:AW25">SUM(O22:O24)</f>
        <v>1</v>
      </c>
      <c r="P25" s="52">
        <f t="shared" si="28"/>
        <v>2</v>
      </c>
      <c r="Q25" s="52">
        <f t="shared" si="28"/>
        <v>3</v>
      </c>
      <c r="R25" s="52">
        <f t="shared" si="28"/>
        <v>6</v>
      </c>
      <c r="S25" s="52">
        <f t="shared" si="28"/>
        <v>6</v>
      </c>
      <c r="T25" s="52">
        <f t="shared" si="28"/>
        <v>6</v>
      </c>
      <c r="U25" s="52">
        <f t="shared" si="28"/>
        <v>6</v>
      </c>
      <c r="V25" s="52">
        <f t="shared" si="28"/>
        <v>6</v>
      </c>
      <c r="W25" s="52">
        <f t="shared" si="28"/>
        <v>6</v>
      </c>
      <c r="X25" s="52">
        <f t="shared" si="28"/>
        <v>6</v>
      </c>
      <c r="Y25" s="52">
        <f t="shared" si="28"/>
        <v>6</v>
      </c>
      <c r="Z25" s="52">
        <f t="shared" si="28"/>
        <v>6</v>
      </c>
      <c r="AA25" s="52">
        <f t="shared" si="28"/>
        <v>10</v>
      </c>
      <c r="AB25" s="52">
        <f t="shared" si="28"/>
        <v>10</v>
      </c>
      <c r="AC25" s="52">
        <f t="shared" si="28"/>
        <v>10</v>
      </c>
      <c r="AD25" s="52">
        <f t="shared" si="28"/>
        <v>10</v>
      </c>
      <c r="AE25" s="52">
        <f t="shared" si="28"/>
        <v>10</v>
      </c>
      <c r="AF25" s="52">
        <f t="shared" si="28"/>
        <v>10</v>
      </c>
      <c r="AG25" s="52">
        <f t="shared" si="28"/>
        <v>10</v>
      </c>
      <c r="AH25" s="52">
        <f t="shared" si="28"/>
        <v>10</v>
      </c>
      <c r="AI25" s="52">
        <f t="shared" si="28"/>
        <v>10</v>
      </c>
      <c r="AJ25" s="52">
        <f t="shared" si="28"/>
        <v>10</v>
      </c>
      <c r="AK25" s="52">
        <f t="shared" si="28"/>
        <v>10</v>
      </c>
      <c r="AL25" s="52">
        <f t="shared" si="28"/>
        <v>10</v>
      </c>
      <c r="AM25" s="52">
        <f t="shared" si="28"/>
        <v>16</v>
      </c>
      <c r="AN25" s="52">
        <f t="shared" si="28"/>
        <v>16</v>
      </c>
      <c r="AO25" s="52">
        <f t="shared" si="28"/>
        <v>16</v>
      </c>
      <c r="AP25" s="52">
        <f t="shared" si="28"/>
        <v>16</v>
      </c>
      <c r="AQ25" s="52">
        <f t="shared" si="28"/>
        <v>16</v>
      </c>
      <c r="AR25" s="52">
        <f t="shared" si="28"/>
        <v>16</v>
      </c>
      <c r="AS25" s="52">
        <f t="shared" si="28"/>
        <v>16</v>
      </c>
      <c r="AT25" s="52">
        <f t="shared" si="28"/>
        <v>16</v>
      </c>
      <c r="AU25" s="52">
        <f t="shared" si="28"/>
        <v>16</v>
      </c>
      <c r="AV25" s="52">
        <f t="shared" si="28"/>
        <v>16</v>
      </c>
      <c r="AW25" s="52">
        <f t="shared" si="28"/>
        <v>16</v>
      </c>
      <c r="AX25" s="52">
        <f>SUM(AX22:AX24)</f>
        <v>16</v>
      </c>
      <c r="AZ25" s="116">
        <f>SUM(AZ22:AZ24)</f>
        <v>6250</v>
      </c>
      <c r="BA25" s="116">
        <f aca="true" t="shared" si="29" ref="BA25:CI25">SUM(BA22:BA24)</f>
        <v>12500</v>
      </c>
      <c r="BB25" s="116">
        <f t="shared" si="29"/>
        <v>18750</v>
      </c>
      <c r="BC25" s="116">
        <f t="shared" si="29"/>
        <v>37500</v>
      </c>
      <c r="BD25" s="116">
        <f t="shared" si="29"/>
        <v>37500</v>
      </c>
      <c r="BE25" s="116">
        <f t="shared" si="29"/>
        <v>37500</v>
      </c>
      <c r="BF25" s="116">
        <f t="shared" si="29"/>
        <v>37500</v>
      </c>
      <c r="BG25" s="116">
        <f t="shared" si="29"/>
        <v>37500</v>
      </c>
      <c r="BH25" s="116">
        <f t="shared" si="29"/>
        <v>37500</v>
      </c>
      <c r="BI25" s="116">
        <f t="shared" si="29"/>
        <v>37500</v>
      </c>
      <c r="BJ25" s="116">
        <f t="shared" si="29"/>
        <v>37500</v>
      </c>
      <c r="BK25" s="116">
        <f t="shared" si="29"/>
        <v>37500</v>
      </c>
      <c r="BL25" s="116">
        <f t="shared" si="29"/>
        <v>56620</v>
      </c>
      <c r="BM25" s="116">
        <f t="shared" si="29"/>
        <v>56620</v>
      </c>
      <c r="BN25" s="116">
        <f t="shared" si="29"/>
        <v>56620</v>
      </c>
      <c r="BO25" s="116">
        <f t="shared" si="29"/>
        <v>56620</v>
      </c>
      <c r="BP25" s="116">
        <f t="shared" si="29"/>
        <v>56620</v>
      </c>
      <c r="BQ25" s="116">
        <f t="shared" si="29"/>
        <v>56620</v>
      </c>
      <c r="BR25" s="116">
        <f t="shared" si="29"/>
        <v>56620</v>
      </c>
      <c r="BS25" s="116">
        <f t="shared" si="29"/>
        <v>56620</v>
      </c>
      <c r="BT25" s="116">
        <f t="shared" si="29"/>
        <v>56620</v>
      </c>
      <c r="BU25" s="116">
        <f t="shared" si="29"/>
        <v>56620</v>
      </c>
      <c r="BV25" s="116">
        <f t="shared" si="29"/>
        <v>56620</v>
      </c>
      <c r="BW25" s="116">
        <f t="shared" si="29"/>
        <v>56620</v>
      </c>
      <c r="BX25" s="116">
        <f t="shared" si="29"/>
        <v>80324.55</v>
      </c>
      <c r="BY25" s="116">
        <f t="shared" si="29"/>
        <v>80324.55</v>
      </c>
      <c r="BZ25" s="116">
        <f t="shared" si="29"/>
        <v>80324.55</v>
      </c>
      <c r="CA25" s="116">
        <f t="shared" si="29"/>
        <v>80324.55</v>
      </c>
      <c r="CB25" s="116">
        <f t="shared" si="29"/>
        <v>80324.55</v>
      </c>
      <c r="CC25" s="116">
        <f t="shared" si="29"/>
        <v>80324.55</v>
      </c>
      <c r="CD25" s="116">
        <f t="shared" si="29"/>
        <v>80324.55</v>
      </c>
      <c r="CE25" s="116">
        <f t="shared" si="29"/>
        <v>80324.55</v>
      </c>
      <c r="CF25" s="116">
        <f t="shared" si="29"/>
        <v>80324.55</v>
      </c>
      <c r="CG25" s="116">
        <f t="shared" si="29"/>
        <v>80324.55</v>
      </c>
      <c r="CH25" s="116">
        <f t="shared" si="29"/>
        <v>80324.55</v>
      </c>
      <c r="CI25" s="119">
        <f t="shared" si="29"/>
        <v>80324.55</v>
      </c>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row>
    <row r="26" spans="1:87" ht="12.75" customHeight="1">
      <c r="A26" s="25" t="s">
        <v>407</v>
      </c>
      <c r="B26" s="211"/>
      <c r="C26" s="45"/>
      <c r="D26" s="45"/>
      <c r="E26" s="246"/>
      <c r="F26" s="212"/>
      <c r="G26" s="23"/>
      <c r="H26" s="23"/>
      <c r="I26" s="23"/>
      <c r="J26" s="246"/>
      <c r="K26" s="158">
        <f>K25*$B$6</f>
        <v>93750</v>
      </c>
      <c r="L26" s="153">
        <f>L25*$C$6</f>
        <v>157500</v>
      </c>
      <c r="M26" s="153">
        <f>M25*$D$6</f>
        <v>202781.25</v>
      </c>
      <c r="N26" s="24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3">
        <f>AZ25*$B$6</f>
        <v>1562.5</v>
      </c>
      <c r="BA26" s="23">
        <f>BA25*$B$6</f>
        <v>3125</v>
      </c>
      <c r="BB26" s="23">
        <f>BB25*$B$6</f>
        <v>4687.5</v>
      </c>
      <c r="BC26" s="23">
        <f>BC25*$B$6</f>
        <v>9375</v>
      </c>
      <c r="BD26" s="23">
        <f aca="true" t="shared" si="30" ref="BD26:BK26">BD25*$B$6</f>
        <v>9375</v>
      </c>
      <c r="BE26" s="23">
        <f t="shared" si="30"/>
        <v>9375</v>
      </c>
      <c r="BF26" s="23">
        <f t="shared" si="30"/>
        <v>9375</v>
      </c>
      <c r="BG26" s="23">
        <f t="shared" si="30"/>
        <v>9375</v>
      </c>
      <c r="BH26" s="23">
        <f t="shared" si="30"/>
        <v>9375</v>
      </c>
      <c r="BI26" s="23">
        <f t="shared" si="30"/>
        <v>9375</v>
      </c>
      <c r="BJ26" s="23">
        <f t="shared" si="30"/>
        <v>9375</v>
      </c>
      <c r="BK26" s="23">
        <f t="shared" si="30"/>
        <v>9375</v>
      </c>
      <c r="BL26" s="23">
        <f aca="true" t="shared" si="31" ref="BL26:BW26">BL25*$C$6</f>
        <v>14155</v>
      </c>
      <c r="BM26" s="23">
        <f t="shared" si="31"/>
        <v>14155</v>
      </c>
      <c r="BN26" s="23">
        <f t="shared" si="31"/>
        <v>14155</v>
      </c>
      <c r="BO26" s="23">
        <f t="shared" si="31"/>
        <v>14155</v>
      </c>
      <c r="BP26" s="23">
        <f t="shared" si="31"/>
        <v>14155</v>
      </c>
      <c r="BQ26" s="23">
        <f t="shared" si="31"/>
        <v>14155</v>
      </c>
      <c r="BR26" s="23">
        <f t="shared" si="31"/>
        <v>14155</v>
      </c>
      <c r="BS26" s="23">
        <f t="shared" si="31"/>
        <v>14155</v>
      </c>
      <c r="BT26" s="23">
        <f t="shared" si="31"/>
        <v>14155</v>
      </c>
      <c r="BU26" s="23">
        <f t="shared" si="31"/>
        <v>14155</v>
      </c>
      <c r="BV26" s="23">
        <f t="shared" si="31"/>
        <v>14155</v>
      </c>
      <c r="BW26" s="23">
        <f t="shared" si="31"/>
        <v>14155</v>
      </c>
      <c r="BX26" s="23">
        <f aca="true" t="shared" si="32" ref="BX26:CI26">BX25*$D$6</f>
        <v>20081.1375</v>
      </c>
      <c r="BY26" s="23">
        <f t="shared" si="32"/>
        <v>20081.1375</v>
      </c>
      <c r="BZ26" s="23">
        <f t="shared" si="32"/>
        <v>20081.1375</v>
      </c>
      <c r="CA26" s="23">
        <f t="shared" si="32"/>
        <v>20081.1375</v>
      </c>
      <c r="CB26" s="23">
        <f t="shared" si="32"/>
        <v>20081.1375</v>
      </c>
      <c r="CC26" s="23">
        <f t="shared" si="32"/>
        <v>20081.1375</v>
      </c>
      <c r="CD26" s="23">
        <f t="shared" si="32"/>
        <v>20081.1375</v>
      </c>
      <c r="CE26" s="23">
        <f t="shared" si="32"/>
        <v>20081.1375</v>
      </c>
      <c r="CF26" s="23">
        <f t="shared" si="32"/>
        <v>20081.1375</v>
      </c>
      <c r="CG26" s="23">
        <f t="shared" si="32"/>
        <v>20081.1375</v>
      </c>
      <c r="CH26" s="23">
        <f t="shared" si="32"/>
        <v>20081.1375</v>
      </c>
      <c r="CI26" s="112">
        <f t="shared" si="32"/>
        <v>20081.1375</v>
      </c>
    </row>
    <row r="27" spans="1:87" ht="12.75" customHeight="1">
      <c r="A27" s="25" t="s">
        <v>246</v>
      </c>
      <c r="B27" s="211"/>
      <c r="C27" s="45"/>
      <c r="D27" s="45"/>
      <c r="E27" s="246"/>
      <c r="F27" s="212"/>
      <c r="G27" s="23"/>
      <c r="H27" s="23"/>
      <c r="I27" s="23"/>
      <c r="J27" s="246"/>
      <c r="K27" s="158">
        <f>K25+K26</f>
        <v>468750</v>
      </c>
      <c r="L27" s="153">
        <f>L25+L26</f>
        <v>787500</v>
      </c>
      <c r="M27" s="153">
        <f>M25+M26</f>
        <v>1013906.25</v>
      </c>
      <c r="N27" s="24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3">
        <f>AZ25+AZ26</f>
        <v>7812.5</v>
      </c>
      <c r="BA27" s="23">
        <f aca="true" t="shared" si="33" ref="BA27:CI27">BA25+BA26</f>
        <v>15625</v>
      </c>
      <c r="BB27" s="23">
        <f t="shared" si="33"/>
        <v>23437.5</v>
      </c>
      <c r="BC27" s="23">
        <f t="shared" si="33"/>
        <v>46875</v>
      </c>
      <c r="BD27" s="23">
        <f t="shared" si="33"/>
        <v>46875</v>
      </c>
      <c r="BE27" s="23">
        <f t="shared" si="33"/>
        <v>46875</v>
      </c>
      <c r="BF27" s="23">
        <f t="shared" si="33"/>
        <v>46875</v>
      </c>
      <c r="BG27" s="23">
        <f t="shared" si="33"/>
        <v>46875</v>
      </c>
      <c r="BH27" s="23">
        <f t="shared" si="33"/>
        <v>46875</v>
      </c>
      <c r="BI27" s="23">
        <f t="shared" si="33"/>
        <v>46875</v>
      </c>
      <c r="BJ27" s="23">
        <f t="shared" si="33"/>
        <v>46875</v>
      </c>
      <c r="BK27" s="23">
        <f t="shared" si="33"/>
        <v>46875</v>
      </c>
      <c r="BL27" s="23">
        <f t="shared" si="33"/>
        <v>70775</v>
      </c>
      <c r="BM27" s="23">
        <f t="shared" si="33"/>
        <v>70775</v>
      </c>
      <c r="BN27" s="23">
        <f t="shared" si="33"/>
        <v>70775</v>
      </c>
      <c r="BO27" s="23">
        <f t="shared" si="33"/>
        <v>70775</v>
      </c>
      <c r="BP27" s="23">
        <f t="shared" si="33"/>
        <v>70775</v>
      </c>
      <c r="BQ27" s="23">
        <f t="shared" si="33"/>
        <v>70775</v>
      </c>
      <c r="BR27" s="23">
        <f t="shared" si="33"/>
        <v>70775</v>
      </c>
      <c r="BS27" s="23">
        <f t="shared" si="33"/>
        <v>70775</v>
      </c>
      <c r="BT27" s="23">
        <f t="shared" si="33"/>
        <v>70775</v>
      </c>
      <c r="BU27" s="23">
        <f t="shared" si="33"/>
        <v>70775</v>
      </c>
      <c r="BV27" s="23">
        <f t="shared" si="33"/>
        <v>70775</v>
      </c>
      <c r="BW27" s="23">
        <f t="shared" si="33"/>
        <v>70775</v>
      </c>
      <c r="BX27" s="23">
        <f t="shared" si="33"/>
        <v>100405.6875</v>
      </c>
      <c r="BY27" s="23">
        <f t="shared" si="33"/>
        <v>100405.6875</v>
      </c>
      <c r="BZ27" s="23">
        <f t="shared" si="33"/>
        <v>100405.6875</v>
      </c>
      <c r="CA27" s="23">
        <f t="shared" si="33"/>
        <v>100405.6875</v>
      </c>
      <c r="CB27" s="23">
        <f t="shared" si="33"/>
        <v>100405.6875</v>
      </c>
      <c r="CC27" s="23">
        <f t="shared" si="33"/>
        <v>100405.6875</v>
      </c>
      <c r="CD27" s="23">
        <f t="shared" si="33"/>
        <v>100405.6875</v>
      </c>
      <c r="CE27" s="23">
        <f t="shared" si="33"/>
        <v>100405.6875</v>
      </c>
      <c r="CF27" s="23">
        <f t="shared" si="33"/>
        <v>100405.6875</v>
      </c>
      <c r="CG27" s="23">
        <f t="shared" si="33"/>
        <v>100405.6875</v>
      </c>
      <c r="CH27" s="23">
        <f t="shared" si="33"/>
        <v>100405.6875</v>
      </c>
      <c r="CI27" s="112">
        <f t="shared" si="33"/>
        <v>100405.6875</v>
      </c>
    </row>
    <row r="28" spans="2:87" ht="12.75" customHeight="1">
      <c r="B28" s="211"/>
      <c r="C28" s="45"/>
      <c r="D28" s="45"/>
      <c r="E28" s="246"/>
      <c r="F28" s="212"/>
      <c r="G28" s="23"/>
      <c r="H28" s="23"/>
      <c r="I28" s="23"/>
      <c r="J28" s="246"/>
      <c r="K28" s="179"/>
      <c r="L28" s="17"/>
      <c r="M28" s="17"/>
      <c r="N28" s="24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112"/>
    </row>
    <row r="29" spans="1:87" ht="12.75" customHeight="1">
      <c r="A29" s="99" t="s">
        <v>130</v>
      </c>
      <c r="B29" s="211"/>
      <c r="C29" s="45"/>
      <c r="D29" s="45"/>
      <c r="E29" s="246"/>
      <c r="F29" s="212"/>
      <c r="G29" s="23"/>
      <c r="H29" s="23"/>
      <c r="I29" s="23"/>
      <c r="J29" s="246"/>
      <c r="K29" s="32"/>
      <c r="L29" s="26"/>
      <c r="M29" s="26"/>
      <c r="N29" s="24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112"/>
    </row>
    <row r="30" spans="1:87" s="26" customFormat="1" ht="12.75" customHeight="1">
      <c r="A30" s="26" t="s">
        <v>131</v>
      </c>
      <c r="B30" s="211">
        <f>B75</f>
        <v>1</v>
      </c>
      <c r="C30" s="45">
        <f>C75</f>
        <v>1</v>
      </c>
      <c r="D30" s="45">
        <f>D75</f>
        <v>1</v>
      </c>
      <c r="E30" s="246"/>
      <c r="F30" s="212">
        <f>F75</f>
        <v>75000</v>
      </c>
      <c r="G30" s="23">
        <f aca="true" t="shared" si="34" ref="G30:G36">F30</f>
        <v>75000</v>
      </c>
      <c r="H30" s="23">
        <f aca="true" t="shared" si="35" ref="H30:H36">G30*(1+$C$5)</f>
        <v>77250</v>
      </c>
      <c r="I30" s="23">
        <f aca="true" t="shared" si="36" ref="I30:I36">H30*(1+$D$5)</f>
        <v>79567.5</v>
      </c>
      <c r="J30" s="246"/>
      <c r="K30" s="158">
        <f aca="true" t="shared" si="37" ref="K30:K36">SUM(AZ30:BK30)</f>
        <v>75000</v>
      </c>
      <c r="L30" s="153">
        <f aca="true" t="shared" si="38" ref="L30:L36">SUM(BL30:BW30)</f>
        <v>77250</v>
      </c>
      <c r="M30" s="153">
        <f aca="true" t="shared" si="39" ref="M30:M36">SUM(BX30:CI30)</f>
        <v>79567.5</v>
      </c>
      <c r="N30" s="246"/>
      <c r="O30" s="26">
        <f>O75</f>
        <v>1</v>
      </c>
      <c r="P30" s="26">
        <f aca="true" t="shared" si="40" ref="P30:Z30">$B$30</f>
        <v>1</v>
      </c>
      <c r="Q30" s="26">
        <f t="shared" si="40"/>
        <v>1</v>
      </c>
      <c r="R30" s="26">
        <f t="shared" si="40"/>
        <v>1</v>
      </c>
      <c r="S30" s="26">
        <f t="shared" si="40"/>
        <v>1</v>
      </c>
      <c r="T30" s="26">
        <f t="shared" si="40"/>
        <v>1</v>
      </c>
      <c r="U30" s="26">
        <f t="shared" si="40"/>
        <v>1</v>
      </c>
      <c r="V30" s="26">
        <f t="shared" si="40"/>
        <v>1</v>
      </c>
      <c r="W30" s="26">
        <f t="shared" si="40"/>
        <v>1</v>
      </c>
      <c r="X30" s="26">
        <f t="shared" si="40"/>
        <v>1</v>
      </c>
      <c r="Y30" s="26">
        <f t="shared" si="40"/>
        <v>1</v>
      </c>
      <c r="Z30" s="26">
        <f t="shared" si="40"/>
        <v>1</v>
      </c>
      <c r="AA30" s="26">
        <f>$C$30</f>
        <v>1</v>
      </c>
      <c r="AB30" s="26">
        <f aca="true" t="shared" si="41" ref="AB30:AL30">$C$30</f>
        <v>1</v>
      </c>
      <c r="AC30" s="26">
        <f t="shared" si="41"/>
        <v>1</v>
      </c>
      <c r="AD30" s="26">
        <f t="shared" si="41"/>
        <v>1</v>
      </c>
      <c r="AE30" s="26">
        <f t="shared" si="41"/>
        <v>1</v>
      </c>
      <c r="AF30" s="26">
        <f t="shared" si="41"/>
        <v>1</v>
      </c>
      <c r="AG30" s="26">
        <f t="shared" si="41"/>
        <v>1</v>
      </c>
      <c r="AH30" s="26">
        <f t="shared" si="41"/>
        <v>1</v>
      </c>
      <c r="AI30" s="26">
        <f t="shared" si="41"/>
        <v>1</v>
      </c>
      <c r="AJ30" s="26">
        <f t="shared" si="41"/>
        <v>1</v>
      </c>
      <c r="AK30" s="26">
        <f t="shared" si="41"/>
        <v>1</v>
      </c>
      <c r="AL30" s="26">
        <f t="shared" si="41"/>
        <v>1</v>
      </c>
      <c r="AM30" s="26">
        <f>$D$30</f>
        <v>1</v>
      </c>
      <c r="AN30" s="26">
        <f aca="true" t="shared" si="42" ref="AN30:AX30">$D$30</f>
        <v>1</v>
      </c>
      <c r="AO30" s="26">
        <f t="shared" si="42"/>
        <v>1</v>
      </c>
      <c r="AP30" s="26">
        <f t="shared" si="42"/>
        <v>1</v>
      </c>
      <c r="AQ30" s="26">
        <f t="shared" si="42"/>
        <v>1</v>
      </c>
      <c r="AR30" s="26">
        <f t="shared" si="42"/>
        <v>1</v>
      </c>
      <c r="AS30" s="26">
        <f t="shared" si="42"/>
        <v>1</v>
      </c>
      <c r="AT30" s="26">
        <f t="shared" si="42"/>
        <v>1</v>
      </c>
      <c r="AU30" s="26">
        <f t="shared" si="42"/>
        <v>1</v>
      </c>
      <c r="AV30" s="26">
        <f t="shared" si="42"/>
        <v>1</v>
      </c>
      <c r="AW30" s="26">
        <f t="shared" si="42"/>
        <v>1</v>
      </c>
      <c r="AX30" s="26">
        <f t="shared" si="42"/>
        <v>1</v>
      </c>
      <c r="AZ30" s="23">
        <f>($G$30/12)*O30</f>
        <v>6250</v>
      </c>
      <c r="BA30" s="23">
        <f aca="true" t="shared" si="43" ref="BA30:BK30">($G$30/12)*P30</f>
        <v>6250</v>
      </c>
      <c r="BB30" s="23">
        <f t="shared" si="43"/>
        <v>6250</v>
      </c>
      <c r="BC30" s="23">
        <f t="shared" si="43"/>
        <v>6250</v>
      </c>
      <c r="BD30" s="23">
        <f t="shared" si="43"/>
        <v>6250</v>
      </c>
      <c r="BE30" s="23">
        <f t="shared" si="43"/>
        <v>6250</v>
      </c>
      <c r="BF30" s="23">
        <f t="shared" si="43"/>
        <v>6250</v>
      </c>
      <c r="BG30" s="23">
        <f t="shared" si="43"/>
        <v>6250</v>
      </c>
      <c r="BH30" s="23">
        <f t="shared" si="43"/>
        <v>6250</v>
      </c>
      <c r="BI30" s="23">
        <f t="shared" si="43"/>
        <v>6250</v>
      </c>
      <c r="BJ30" s="23">
        <f t="shared" si="43"/>
        <v>6250</v>
      </c>
      <c r="BK30" s="23">
        <f t="shared" si="43"/>
        <v>6250</v>
      </c>
      <c r="BL30" s="23">
        <f>($H$30/12)*AA30</f>
        <v>6437.5</v>
      </c>
      <c r="BM30" s="23">
        <f aca="true" t="shared" si="44" ref="BM30:BW30">($H$30/12)*AB30</f>
        <v>6437.5</v>
      </c>
      <c r="BN30" s="23">
        <f t="shared" si="44"/>
        <v>6437.5</v>
      </c>
      <c r="BO30" s="23">
        <f t="shared" si="44"/>
        <v>6437.5</v>
      </c>
      <c r="BP30" s="23">
        <f t="shared" si="44"/>
        <v>6437.5</v>
      </c>
      <c r="BQ30" s="23">
        <f t="shared" si="44"/>
        <v>6437.5</v>
      </c>
      <c r="BR30" s="23">
        <f t="shared" si="44"/>
        <v>6437.5</v>
      </c>
      <c r="BS30" s="23">
        <f t="shared" si="44"/>
        <v>6437.5</v>
      </c>
      <c r="BT30" s="23">
        <f t="shared" si="44"/>
        <v>6437.5</v>
      </c>
      <c r="BU30" s="23">
        <f t="shared" si="44"/>
        <v>6437.5</v>
      </c>
      <c r="BV30" s="23">
        <f t="shared" si="44"/>
        <v>6437.5</v>
      </c>
      <c r="BW30" s="23">
        <f t="shared" si="44"/>
        <v>6437.5</v>
      </c>
      <c r="BX30" s="23">
        <f>($I$30/12)*AM30</f>
        <v>6630.625</v>
      </c>
      <c r="BY30" s="23">
        <f aca="true" t="shared" si="45" ref="BY30:CI30">($I$30/12)*AN30</f>
        <v>6630.625</v>
      </c>
      <c r="BZ30" s="23">
        <f t="shared" si="45"/>
        <v>6630.625</v>
      </c>
      <c r="CA30" s="23">
        <f t="shared" si="45"/>
        <v>6630.625</v>
      </c>
      <c r="CB30" s="23">
        <f t="shared" si="45"/>
        <v>6630.625</v>
      </c>
      <c r="CC30" s="23">
        <f t="shared" si="45"/>
        <v>6630.625</v>
      </c>
      <c r="CD30" s="23">
        <f t="shared" si="45"/>
        <v>6630.625</v>
      </c>
      <c r="CE30" s="23">
        <f t="shared" si="45"/>
        <v>6630.625</v>
      </c>
      <c r="CF30" s="23">
        <f t="shared" si="45"/>
        <v>6630.625</v>
      </c>
      <c r="CG30" s="23">
        <f t="shared" si="45"/>
        <v>6630.625</v>
      </c>
      <c r="CH30" s="23">
        <f t="shared" si="45"/>
        <v>6630.625</v>
      </c>
      <c r="CI30" s="112">
        <f t="shared" si="45"/>
        <v>6630.625</v>
      </c>
    </row>
    <row r="31" spans="1:87" s="26" customFormat="1" ht="12.75" customHeight="1">
      <c r="A31" s="45" t="s">
        <v>132</v>
      </c>
      <c r="B31" s="211">
        <f>B119+B151</f>
        <v>1</v>
      </c>
      <c r="C31" s="45">
        <f>C119+C151</f>
        <v>2</v>
      </c>
      <c r="D31" s="45">
        <f>D119+D151</f>
        <v>3</v>
      </c>
      <c r="E31" s="246"/>
      <c r="F31" s="212">
        <f>F119</f>
        <v>85000</v>
      </c>
      <c r="G31" s="23">
        <f t="shared" si="34"/>
        <v>85000</v>
      </c>
      <c r="H31" s="23">
        <f t="shared" si="35"/>
        <v>87550</v>
      </c>
      <c r="I31" s="23">
        <f t="shared" si="36"/>
        <v>90176.5</v>
      </c>
      <c r="J31" s="246"/>
      <c r="K31" s="158">
        <f t="shared" si="37"/>
        <v>85000</v>
      </c>
      <c r="L31" s="153">
        <f t="shared" si="38"/>
        <v>175099.99999999997</v>
      </c>
      <c r="M31" s="153">
        <f t="shared" si="39"/>
        <v>270529.5</v>
      </c>
      <c r="N31" s="246"/>
      <c r="O31" s="26">
        <f>$B$31</f>
        <v>1</v>
      </c>
      <c r="P31" s="26">
        <f aca="true" t="shared" si="46" ref="P31:Z31">$B$31</f>
        <v>1</v>
      </c>
      <c r="Q31" s="26">
        <f t="shared" si="46"/>
        <v>1</v>
      </c>
      <c r="R31" s="26">
        <f t="shared" si="46"/>
        <v>1</v>
      </c>
      <c r="S31" s="26">
        <f t="shared" si="46"/>
        <v>1</v>
      </c>
      <c r="T31" s="26">
        <f t="shared" si="46"/>
        <v>1</v>
      </c>
      <c r="U31" s="26">
        <f t="shared" si="46"/>
        <v>1</v>
      </c>
      <c r="V31" s="26">
        <f t="shared" si="46"/>
        <v>1</v>
      </c>
      <c r="W31" s="26">
        <f t="shared" si="46"/>
        <v>1</v>
      </c>
      <c r="X31" s="26">
        <f t="shared" si="46"/>
        <v>1</v>
      </c>
      <c r="Y31" s="26">
        <f t="shared" si="46"/>
        <v>1</v>
      </c>
      <c r="Z31" s="26">
        <f t="shared" si="46"/>
        <v>1</v>
      </c>
      <c r="AA31" s="26">
        <f>$C$31</f>
        <v>2</v>
      </c>
      <c r="AB31" s="26">
        <f aca="true" t="shared" si="47" ref="AB31:AL31">$C$31</f>
        <v>2</v>
      </c>
      <c r="AC31" s="26">
        <f t="shared" si="47"/>
        <v>2</v>
      </c>
      <c r="AD31" s="26">
        <f t="shared" si="47"/>
        <v>2</v>
      </c>
      <c r="AE31" s="26">
        <f t="shared" si="47"/>
        <v>2</v>
      </c>
      <c r="AF31" s="26">
        <f t="shared" si="47"/>
        <v>2</v>
      </c>
      <c r="AG31" s="26">
        <f t="shared" si="47"/>
        <v>2</v>
      </c>
      <c r="AH31" s="26">
        <f t="shared" si="47"/>
        <v>2</v>
      </c>
      <c r="AI31" s="26">
        <f t="shared" si="47"/>
        <v>2</v>
      </c>
      <c r="AJ31" s="26">
        <f t="shared" si="47"/>
        <v>2</v>
      </c>
      <c r="AK31" s="26">
        <f t="shared" si="47"/>
        <v>2</v>
      </c>
      <c r="AL31" s="26">
        <f t="shared" si="47"/>
        <v>2</v>
      </c>
      <c r="AM31" s="26">
        <f>$D$31</f>
        <v>3</v>
      </c>
      <c r="AN31" s="26">
        <f aca="true" t="shared" si="48" ref="AN31:AX31">$D$31</f>
        <v>3</v>
      </c>
      <c r="AO31" s="26">
        <f t="shared" si="48"/>
        <v>3</v>
      </c>
      <c r="AP31" s="26">
        <f t="shared" si="48"/>
        <v>3</v>
      </c>
      <c r="AQ31" s="26">
        <f t="shared" si="48"/>
        <v>3</v>
      </c>
      <c r="AR31" s="26">
        <f t="shared" si="48"/>
        <v>3</v>
      </c>
      <c r="AS31" s="26">
        <f t="shared" si="48"/>
        <v>3</v>
      </c>
      <c r="AT31" s="26">
        <f t="shared" si="48"/>
        <v>3</v>
      </c>
      <c r="AU31" s="26">
        <f t="shared" si="48"/>
        <v>3</v>
      </c>
      <c r="AV31" s="26">
        <f t="shared" si="48"/>
        <v>3</v>
      </c>
      <c r="AW31" s="26">
        <f t="shared" si="48"/>
        <v>3</v>
      </c>
      <c r="AX31" s="26">
        <f t="shared" si="48"/>
        <v>3</v>
      </c>
      <c r="AZ31" s="23">
        <f>($G$31/12)*O31</f>
        <v>7083.333333333333</v>
      </c>
      <c r="BA31" s="23">
        <f aca="true" t="shared" si="49" ref="BA31:BK31">($G$31/12)*P31</f>
        <v>7083.333333333333</v>
      </c>
      <c r="BB31" s="23">
        <f t="shared" si="49"/>
        <v>7083.333333333333</v>
      </c>
      <c r="BC31" s="23">
        <f t="shared" si="49"/>
        <v>7083.333333333333</v>
      </c>
      <c r="BD31" s="23">
        <f t="shared" si="49"/>
        <v>7083.333333333333</v>
      </c>
      <c r="BE31" s="23">
        <f t="shared" si="49"/>
        <v>7083.333333333333</v>
      </c>
      <c r="BF31" s="23">
        <f t="shared" si="49"/>
        <v>7083.333333333333</v>
      </c>
      <c r="BG31" s="23">
        <f t="shared" si="49"/>
        <v>7083.333333333333</v>
      </c>
      <c r="BH31" s="23">
        <f t="shared" si="49"/>
        <v>7083.333333333333</v>
      </c>
      <c r="BI31" s="23">
        <f t="shared" si="49"/>
        <v>7083.333333333333</v>
      </c>
      <c r="BJ31" s="23">
        <f t="shared" si="49"/>
        <v>7083.333333333333</v>
      </c>
      <c r="BK31" s="23">
        <f t="shared" si="49"/>
        <v>7083.333333333333</v>
      </c>
      <c r="BL31" s="23">
        <f>($H$31/12)*AA31</f>
        <v>14591.666666666666</v>
      </c>
      <c r="BM31" s="23">
        <f aca="true" t="shared" si="50" ref="BM31:BW31">($H$31/12)*AB31</f>
        <v>14591.666666666666</v>
      </c>
      <c r="BN31" s="23">
        <f t="shared" si="50"/>
        <v>14591.666666666666</v>
      </c>
      <c r="BO31" s="23">
        <f t="shared" si="50"/>
        <v>14591.666666666666</v>
      </c>
      <c r="BP31" s="23">
        <f t="shared" si="50"/>
        <v>14591.666666666666</v>
      </c>
      <c r="BQ31" s="23">
        <f t="shared" si="50"/>
        <v>14591.666666666666</v>
      </c>
      <c r="BR31" s="23">
        <f t="shared" si="50"/>
        <v>14591.666666666666</v>
      </c>
      <c r="BS31" s="23">
        <f t="shared" si="50"/>
        <v>14591.666666666666</v>
      </c>
      <c r="BT31" s="23">
        <f t="shared" si="50"/>
        <v>14591.666666666666</v>
      </c>
      <c r="BU31" s="23">
        <f t="shared" si="50"/>
        <v>14591.666666666666</v>
      </c>
      <c r="BV31" s="23">
        <f t="shared" si="50"/>
        <v>14591.666666666666</v>
      </c>
      <c r="BW31" s="23">
        <f t="shared" si="50"/>
        <v>14591.666666666666</v>
      </c>
      <c r="BX31" s="23">
        <f>($I$31/12)*AM31</f>
        <v>22544.125</v>
      </c>
      <c r="BY31" s="23">
        <f aca="true" t="shared" si="51" ref="BY31:CI31">($I$31/12)*AN31</f>
        <v>22544.125</v>
      </c>
      <c r="BZ31" s="23">
        <f t="shared" si="51"/>
        <v>22544.125</v>
      </c>
      <c r="CA31" s="23">
        <f t="shared" si="51"/>
        <v>22544.125</v>
      </c>
      <c r="CB31" s="23">
        <f t="shared" si="51"/>
        <v>22544.125</v>
      </c>
      <c r="CC31" s="23">
        <f t="shared" si="51"/>
        <v>22544.125</v>
      </c>
      <c r="CD31" s="23">
        <f t="shared" si="51"/>
        <v>22544.125</v>
      </c>
      <c r="CE31" s="23">
        <f t="shared" si="51"/>
        <v>22544.125</v>
      </c>
      <c r="CF31" s="23">
        <f t="shared" si="51"/>
        <v>22544.125</v>
      </c>
      <c r="CG31" s="23">
        <f t="shared" si="51"/>
        <v>22544.125</v>
      </c>
      <c r="CH31" s="23">
        <f t="shared" si="51"/>
        <v>22544.125</v>
      </c>
      <c r="CI31" s="112">
        <f t="shared" si="51"/>
        <v>22544.125</v>
      </c>
    </row>
    <row r="32" spans="1:87" s="26" customFormat="1" ht="12.75" customHeight="1">
      <c r="A32" s="45" t="s">
        <v>133</v>
      </c>
      <c r="B32" s="211">
        <f>B99+B105+B139+B145+B158</f>
        <v>3.8</v>
      </c>
      <c r="C32" s="45">
        <f>C99+C105+C139+C145+C158</f>
        <v>3.8</v>
      </c>
      <c r="D32" s="45">
        <f>D99+D105+D139+D145+D158</f>
        <v>3.8</v>
      </c>
      <c r="E32" s="246"/>
      <c r="F32" s="212">
        <f>F99</f>
        <v>40000</v>
      </c>
      <c r="G32" s="23">
        <f t="shared" si="34"/>
        <v>40000</v>
      </c>
      <c r="H32" s="23">
        <f t="shared" si="35"/>
        <v>41200</v>
      </c>
      <c r="I32" s="23">
        <f t="shared" si="36"/>
        <v>42436</v>
      </c>
      <c r="J32" s="246"/>
      <c r="K32" s="158">
        <f t="shared" si="37"/>
        <v>114000.00000000001</v>
      </c>
      <c r="L32" s="153">
        <f t="shared" si="38"/>
        <v>156560</v>
      </c>
      <c r="M32" s="153">
        <f t="shared" si="39"/>
        <v>161256.80000000005</v>
      </c>
      <c r="N32" s="246"/>
      <c r="O32" s="26">
        <v>0</v>
      </c>
      <c r="P32" s="26">
        <v>0</v>
      </c>
      <c r="Q32" s="26">
        <v>0</v>
      </c>
      <c r="R32" s="26">
        <f aca="true" t="shared" si="52" ref="R32:Z32">$B$32</f>
        <v>3.8</v>
      </c>
      <c r="S32" s="26">
        <f t="shared" si="52"/>
        <v>3.8</v>
      </c>
      <c r="T32" s="26">
        <f t="shared" si="52"/>
        <v>3.8</v>
      </c>
      <c r="U32" s="26">
        <f t="shared" si="52"/>
        <v>3.8</v>
      </c>
      <c r="V32" s="26">
        <f t="shared" si="52"/>
        <v>3.8</v>
      </c>
      <c r="W32" s="26">
        <f t="shared" si="52"/>
        <v>3.8</v>
      </c>
      <c r="X32" s="26">
        <f t="shared" si="52"/>
        <v>3.8</v>
      </c>
      <c r="Y32" s="26">
        <f t="shared" si="52"/>
        <v>3.8</v>
      </c>
      <c r="Z32" s="26">
        <f t="shared" si="52"/>
        <v>3.8</v>
      </c>
      <c r="AA32" s="26">
        <f>$C$32</f>
        <v>3.8</v>
      </c>
      <c r="AB32" s="26">
        <f aca="true" t="shared" si="53" ref="AB32:AL32">$C$32</f>
        <v>3.8</v>
      </c>
      <c r="AC32" s="26">
        <f t="shared" si="53"/>
        <v>3.8</v>
      </c>
      <c r="AD32" s="26">
        <f t="shared" si="53"/>
        <v>3.8</v>
      </c>
      <c r="AE32" s="26">
        <f t="shared" si="53"/>
        <v>3.8</v>
      </c>
      <c r="AF32" s="26">
        <f t="shared" si="53"/>
        <v>3.8</v>
      </c>
      <c r="AG32" s="26">
        <f t="shared" si="53"/>
        <v>3.8</v>
      </c>
      <c r="AH32" s="26">
        <f t="shared" si="53"/>
        <v>3.8</v>
      </c>
      <c r="AI32" s="26">
        <f t="shared" si="53"/>
        <v>3.8</v>
      </c>
      <c r="AJ32" s="26">
        <f t="shared" si="53"/>
        <v>3.8</v>
      </c>
      <c r="AK32" s="26">
        <f t="shared" si="53"/>
        <v>3.8</v>
      </c>
      <c r="AL32" s="26">
        <f t="shared" si="53"/>
        <v>3.8</v>
      </c>
      <c r="AM32" s="26">
        <f>$D$32</f>
        <v>3.8</v>
      </c>
      <c r="AN32" s="26">
        <f aca="true" t="shared" si="54" ref="AN32:AX32">$D$32</f>
        <v>3.8</v>
      </c>
      <c r="AO32" s="26">
        <f t="shared" si="54"/>
        <v>3.8</v>
      </c>
      <c r="AP32" s="26">
        <f t="shared" si="54"/>
        <v>3.8</v>
      </c>
      <c r="AQ32" s="26">
        <f t="shared" si="54"/>
        <v>3.8</v>
      </c>
      <c r="AR32" s="26">
        <f t="shared" si="54"/>
        <v>3.8</v>
      </c>
      <c r="AS32" s="26">
        <f t="shared" si="54"/>
        <v>3.8</v>
      </c>
      <c r="AT32" s="26">
        <f t="shared" si="54"/>
        <v>3.8</v>
      </c>
      <c r="AU32" s="26">
        <f t="shared" si="54"/>
        <v>3.8</v>
      </c>
      <c r="AV32" s="26">
        <f t="shared" si="54"/>
        <v>3.8</v>
      </c>
      <c r="AW32" s="26">
        <f t="shared" si="54"/>
        <v>3.8</v>
      </c>
      <c r="AX32" s="26">
        <f t="shared" si="54"/>
        <v>3.8</v>
      </c>
      <c r="AZ32" s="23">
        <f>($G$32/12)*O32</f>
        <v>0</v>
      </c>
      <c r="BA32" s="23">
        <f aca="true" t="shared" si="55" ref="BA32:BK32">($G$32/12)*P32</f>
        <v>0</v>
      </c>
      <c r="BB32" s="23">
        <f t="shared" si="55"/>
        <v>0</v>
      </c>
      <c r="BC32" s="23">
        <f t="shared" si="55"/>
        <v>12666.666666666666</v>
      </c>
      <c r="BD32" s="23">
        <f t="shared" si="55"/>
        <v>12666.666666666666</v>
      </c>
      <c r="BE32" s="23">
        <f t="shared" si="55"/>
        <v>12666.666666666666</v>
      </c>
      <c r="BF32" s="23">
        <f t="shared" si="55"/>
        <v>12666.666666666666</v>
      </c>
      <c r="BG32" s="23">
        <f t="shared" si="55"/>
        <v>12666.666666666666</v>
      </c>
      <c r="BH32" s="23">
        <f t="shared" si="55"/>
        <v>12666.666666666666</v>
      </c>
      <c r="BI32" s="23">
        <f t="shared" si="55"/>
        <v>12666.666666666666</v>
      </c>
      <c r="BJ32" s="23">
        <f t="shared" si="55"/>
        <v>12666.666666666666</v>
      </c>
      <c r="BK32" s="23">
        <f t="shared" si="55"/>
        <v>12666.666666666666</v>
      </c>
      <c r="BL32" s="23">
        <f>($H$32/12)*AA32</f>
        <v>13046.666666666666</v>
      </c>
      <c r="BM32" s="23">
        <f aca="true" t="shared" si="56" ref="BM32:BW32">($H$32/12)*AB32</f>
        <v>13046.666666666666</v>
      </c>
      <c r="BN32" s="23">
        <f t="shared" si="56"/>
        <v>13046.666666666666</v>
      </c>
      <c r="BO32" s="23">
        <f t="shared" si="56"/>
        <v>13046.666666666666</v>
      </c>
      <c r="BP32" s="23">
        <f t="shared" si="56"/>
        <v>13046.666666666666</v>
      </c>
      <c r="BQ32" s="23">
        <f t="shared" si="56"/>
        <v>13046.666666666666</v>
      </c>
      <c r="BR32" s="23">
        <f t="shared" si="56"/>
        <v>13046.666666666666</v>
      </c>
      <c r="BS32" s="23">
        <f t="shared" si="56"/>
        <v>13046.666666666666</v>
      </c>
      <c r="BT32" s="23">
        <f t="shared" si="56"/>
        <v>13046.666666666666</v>
      </c>
      <c r="BU32" s="23">
        <f t="shared" si="56"/>
        <v>13046.666666666666</v>
      </c>
      <c r="BV32" s="23">
        <f t="shared" si="56"/>
        <v>13046.666666666666</v>
      </c>
      <c r="BW32" s="23">
        <f t="shared" si="56"/>
        <v>13046.666666666666</v>
      </c>
      <c r="BX32" s="23">
        <f>($I$32/12)*AM32</f>
        <v>13438.066666666668</v>
      </c>
      <c r="BY32" s="23">
        <f aca="true" t="shared" si="57" ref="BY32:CI32">($I$32/12)*AN32</f>
        <v>13438.066666666668</v>
      </c>
      <c r="BZ32" s="23">
        <f t="shared" si="57"/>
        <v>13438.066666666668</v>
      </c>
      <c r="CA32" s="23">
        <f t="shared" si="57"/>
        <v>13438.066666666668</v>
      </c>
      <c r="CB32" s="23">
        <f t="shared" si="57"/>
        <v>13438.066666666668</v>
      </c>
      <c r="CC32" s="23">
        <f t="shared" si="57"/>
        <v>13438.066666666668</v>
      </c>
      <c r="CD32" s="23">
        <f t="shared" si="57"/>
        <v>13438.066666666668</v>
      </c>
      <c r="CE32" s="23">
        <f t="shared" si="57"/>
        <v>13438.066666666668</v>
      </c>
      <c r="CF32" s="23">
        <f t="shared" si="57"/>
        <v>13438.066666666668</v>
      </c>
      <c r="CG32" s="23">
        <f t="shared" si="57"/>
        <v>13438.066666666668</v>
      </c>
      <c r="CH32" s="23">
        <f t="shared" si="57"/>
        <v>13438.066666666668</v>
      </c>
      <c r="CI32" s="112">
        <f t="shared" si="57"/>
        <v>13438.066666666668</v>
      </c>
    </row>
    <row r="33" spans="1:87" s="26" customFormat="1" ht="12.75" customHeight="1">
      <c r="A33" s="45" t="s">
        <v>134</v>
      </c>
      <c r="B33" s="211">
        <f>B111+B137</f>
        <v>1</v>
      </c>
      <c r="C33" s="45">
        <f>C111+C137</f>
        <v>3</v>
      </c>
      <c r="D33" s="45">
        <f>D111+D137</f>
        <v>4</v>
      </c>
      <c r="E33" s="246"/>
      <c r="F33" s="212">
        <f>F111</f>
        <v>40000</v>
      </c>
      <c r="G33" s="23">
        <f t="shared" si="34"/>
        <v>40000</v>
      </c>
      <c r="H33" s="23">
        <f t="shared" si="35"/>
        <v>41200</v>
      </c>
      <c r="I33" s="23">
        <f t="shared" si="36"/>
        <v>42436</v>
      </c>
      <c r="J33" s="246"/>
      <c r="K33" s="158">
        <f t="shared" si="37"/>
        <v>29999.999999999996</v>
      </c>
      <c r="L33" s="153">
        <f t="shared" si="38"/>
        <v>123600</v>
      </c>
      <c r="M33" s="153">
        <f t="shared" si="39"/>
        <v>169744</v>
      </c>
      <c r="N33" s="246"/>
      <c r="O33" s="26">
        <v>0</v>
      </c>
      <c r="P33" s="26">
        <v>0</v>
      </c>
      <c r="Q33" s="26">
        <v>0</v>
      </c>
      <c r="R33" s="26">
        <f aca="true" t="shared" si="58" ref="R33:Z33">$B$33</f>
        <v>1</v>
      </c>
      <c r="S33" s="26">
        <f t="shared" si="58"/>
        <v>1</v>
      </c>
      <c r="T33" s="26">
        <f t="shared" si="58"/>
        <v>1</v>
      </c>
      <c r="U33" s="26">
        <f t="shared" si="58"/>
        <v>1</v>
      </c>
      <c r="V33" s="26">
        <f t="shared" si="58"/>
        <v>1</v>
      </c>
      <c r="W33" s="26">
        <f t="shared" si="58"/>
        <v>1</v>
      </c>
      <c r="X33" s="26">
        <f t="shared" si="58"/>
        <v>1</v>
      </c>
      <c r="Y33" s="26">
        <f t="shared" si="58"/>
        <v>1</v>
      </c>
      <c r="Z33" s="26">
        <f t="shared" si="58"/>
        <v>1</v>
      </c>
      <c r="AA33" s="26">
        <f>$C$33</f>
        <v>3</v>
      </c>
      <c r="AB33" s="26">
        <f aca="true" t="shared" si="59" ref="AB33:AL33">$C$33</f>
        <v>3</v>
      </c>
      <c r="AC33" s="26">
        <f t="shared" si="59"/>
        <v>3</v>
      </c>
      <c r="AD33" s="26">
        <f t="shared" si="59"/>
        <v>3</v>
      </c>
      <c r="AE33" s="26">
        <f t="shared" si="59"/>
        <v>3</v>
      </c>
      <c r="AF33" s="26">
        <f t="shared" si="59"/>
        <v>3</v>
      </c>
      <c r="AG33" s="26">
        <f t="shared" si="59"/>
        <v>3</v>
      </c>
      <c r="AH33" s="26">
        <f t="shared" si="59"/>
        <v>3</v>
      </c>
      <c r="AI33" s="26">
        <f t="shared" si="59"/>
        <v>3</v>
      </c>
      <c r="AJ33" s="26">
        <f t="shared" si="59"/>
        <v>3</v>
      </c>
      <c r="AK33" s="26">
        <f t="shared" si="59"/>
        <v>3</v>
      </c>
      <c r="AL33" s="26">
        <f t="shared" si="59"/>
        <v>3</v>
      </c>
      <c r="AM33" s="26">
        <f>$D$33</f>
        <v>4</v>
      </c>
      <c r="AN33" s="26">
        <f aca="true" t="shared" si="60" ref="AN33:AX33">$D$33</f>
        <v>4</v>
      </c>
      <c r="AO33" s="26">
        <f t="shared" si="60"/>
        <v>4</v>
      </c>
      <c r="AP33" s="26">
        <f t="shared" si="60"/>
        <v>4</v>
      </c>
      <c r="AQ33" s="26">
        <f t="shared" si="60"/>
        <v>4</v>
      </c>
      <c r="AR33" s="26">
        <f t="shared" si="60"/>
        <v>4</v>
      </c>
      <c r="AS33" s="26">
        <f t="shared" si="60"/>
        <v>4</v>
      </c>
      <c r="AT33" s="26">
        <f t="shared" si="60"/>
        <v>4</v>
      </c>
      <c r="AU33" s="26">
        <f t="shared" si="60"/>
        <v>4</v>
      </c>
      <c r="AV33" s="26">
        <f t="shared" si="60"/>
        <v>4</v>
      </c>
      <c r="AW33" s="26">
        <f t="shared" si="60"/>
        <v>4</v>
      </c>
      <c r="AX33" s="26">
        <f t="shared" si="60"/>
        <v>4</v>
      </c>
      <c r="AZ33" s="23">
        <f>($G$33/12)*O33</f>
        <v>0</v>
      </c>
      <c r="BA33" s="23">
        <f aca="true" t="shared" si="61" ref="BA33:BK33">($G$33/12)*P33</f>
        <v>0</v>
      </c>
      <c r="BB33" s="23">
        <f t="shared" si="61"/>
        <v>0</v>
      </c>
      <c r="BC33" s="23">
        <f t="shared" si="61"/>
        <v>3333.3333333333335</v>
      </c>
      <c r="BD33" s="23">
        <f t="shared" si="61"/>
        <v>3333.3333333333335</v>
      </c>
      <c r="BE33" s="23">
        <f t="shared" si="61"/>
        <v>3333.3333333333335</v>
      </c>
      <c r="BF33" s="23">
        <f t="shared" si="61"/>
        <v>3333.3333333333335</v>
      </c>
      <c r="BG33" s="23">
        <f t="shared" si="61"/>
        <v>3333.3333333333335</v>
      </c>
      <c r="BH33" s="23">
        <f t="shared" si="61"/>
        <v>3333.3333333333335</v>
      </c>
      <c r="BI33" s="23">
        <f t="shared" si="61"/>
        <v>3333.3333333333335</v>
      </c>
      <c r="BJ33" s="23">
        <f t="shared" si="61"/>
        <v>3333.3333333333335</v>
      </c>
      <c r="BK33" s="23">
        <f t="shared" si="61"/>
        <v>3333.3333333333335</v>
      </c>
      <c r="BL33" s="23">
        <f>($H$33/12)*AA33</f>
        <v>10300</v>
      </c>
      <c r="BM33" s="23">
        <f aca="true" t="shared" si="62" ref="BM33:BW33">($H$33/12)*AB33</f>
        <v>10300</v>
      </c>
      <c r="BN33" s="23">
        <f t="shared" si="62"/>
        <v>10300</v>
      </c>
      <c r="BO33" s="23">
        <f t="shared" si="62"/>
        <v>10300</v>
      </c>
      <c r="BP33" s="23">
        <f t="shared" si="62"/>
        <v>10300</v>
      </c>
      <c r="BQ33" s="23">
        <f t="shared" si="62"/>
        <v>10300</v>
      </c>
      <c r="BR33" s="23">
        <f t="shared" si="62"/>
        <v>10300</v>
      </c>
      <c r="BS33" s="23">
        <f t="shared" si="62"/>
        <v>10300</v>
      </c>
      <c r="BT33" s="23">
        <f t="shared" si="62"/>
        <v>10300</v>
      </c>
      <c r="BU33" s="23">
        <f t="shared" si="62"/>
        <v>10300</v>
      </c>
      <c r="BV33" s="23">
        <f t="shared" si="62"/>
        <v>10300</v>
      </c>
      <c r="BW33" s="23">
        <f t="shared" si="62"/>
        <v>10300</v>
      </c>
      <c r="BX33" s="23">
        <f>($I$33/12)*AM33</f>
        <v>14145.333333333334</v>
      </c>
      <c r="BY33" s="23">
        <f aca="true" t="shared" si="63" ref="BY33:CI33">($I$33/12)*AN33</f>
        <v>14145.333333333334</v>
      </c>
      <c r="BZ33" s="23">
        <f t="shared" si="63"/>
        <v>14145.333333333334</v>
      </c>
      <c r="CA33" s="23">
        <f t="shared" si="63"/>
        <v>14145.333333333334</v>
      </c>
      <c r="CB33" s="23">
        <f t="shared" si="63"/>
        <v>14145.333333333334</v>
      </c>
      <c r="CC33" s="23">
        <f t="shared" si="63"/>
        <v>14145.333333333334</v>
      </c>
      <c r="CD33" s="23">
        <f t="shared" si="63"/>
        <v>14145.333333333334</v>
      </c>
      <c r="CE33" s="23">
        <f t="shared" si="63"/>
        <v>14145.333333333334</v>
      </c>
      <c r="CF33" s="23">
        <f t="shared" si="63"/>
        <v>14145.333333333334</v>
      </c>
      <c r="CG33" s="23">
        <f t="shared" si="63"/>
        <v>14145.333333333334</v>
      </c>
      <c r="CH33" s="23">
        <f t="shared" si="63"/>
        <v>14145.333333333334</v>
      </c>
      <c r="CI33" s="112">
        <f t="shared" si="63"/>
        <v>14145.333333333334</v>
      </c>
    </row>
    <row r="34" spans="1:87" s="26" customFormat="1" ht="12.75" customHeight="1">
      <c r="A34" s="45" t="s">
        <v>135</v>
      </c>
      <c r="B34" s="211">
        <f>B126</f>
        <v>0</v>
      </c>
      <c r="C34" s="45">
        <f>C126</f>
        <v>0.3</v>
      </c>
      <c r="D34" s="45">
        <f>D126</f>
        <v>0.6</v>
      </c>
      <c r="E34" s="246"/>
      <c r="F34" s="212">
        <f>F126</f>
        <v>60000</v>
      </c>
      <c r="G34" s="23">
        <f t="shared" si="34"/>
        <v>60000</v>
      </c>
      <c r="H34" s="23">
        <f t="shared" si="35"/>
        <v>61800</v>
      </c>
      <c r="I34" s="23">
        <f t="shared" si="36"/>
        <v>63654</v>
      </c>
      <c r="J34" s="246"/>
      <c r="K34" s="158">
        <f t="shared" si="37"/>
        <v>0</v>
      </c>
      <c r="L34" s="153">
        <f t="shared" si="38"/>
        <v>18540</v>
      </c>
      <c r="M34" s="153">
        <f t="shared" si="39"/>
        <v>38192.4</v>
      </c>
      <c r="N34" s="246"/>
      <c r="O34" s="26">
        <f>$B$34</f>
        <v>0</v>
      </c>
      <c r="P34" s="26">
        <f aca="true" t="shared" si="64" ref="P34:Z34">$B$34</f>
        <v>0</v>
      </c>
      <c r="Q34" s="26">
        <f t="shared" si="64"/>
        <v>0</v>
      </c>
      <c r="R34" s="26">
        <f t="shared" si="64"/>
        <v>0</v>
      </c>
      <c r="S34" s="26">
        <f t="shared" si="64"/>
        <v>0</v>
      </c>
      <c r="T34" s="26">
        <f t="shared" si="64"/>
        <v>0</v>
      </c>
      <c r="U34" s="26">
        <f t="shared" si="64"/>
        <v>0</v>
      </c>
      <c r="V34" s="26">
        <f t="shared" si="64"/>
        <v>0</v>
      </c>
      <c r="W34" s="26">
        <f t="shared" si="64"/>
        <v>0</v>
      </c>
      <c r="X34" s="26">
        <f t="shared" si="64"/>
        <v>0</v>
      </c>
      <c r="Y34" s="26">
        <f t="shared" si="64"/>
        <v>0</v>
      </c>
      <c r="Z34" s="26">
        <f t="shared" si="64"/>
        <v>0</v>
      </c>
      <c r="AA34" s="26">
        <f>$C$34</f>
        <v>0.3</v>
      </c>
      <c r="AB34" s="26">
        <f aca="true" t="shared" si="65" ref="AB34:AL34">$C$34</f>
        <v>0.3</v>
      </c>
      <c r="AC34" s="26">
        <f t="shared" si="65"/>
        <v>0.3</v>
      </c>
      <c r="AD34" s="26">
        <f t="shared" si="65"/>
        <v>0.3</v>
      </c>
      <c r="AE34" s="26">
        <f t="shared" si="65"/>
        <v>0.3</v>
      </c>
      <c r="AF34" s="26">
        <f t="shared" si="65"/>
        <v>0.3</v>
      </c>
      <c r="AG34" s="26">
        <f t="shared" si="65"/>
        <v>0.3</v>
      </c>
      <c r="AH34" s="26">
        <f t="shared" si="65"/>
        <v>0.3</v>
      </c>
      <c r="AI34" s="26">
        <f t="shared" si="65"/>
        <v>0.3</v>
      </c>
      <c r="AJ34" s="26">
        <f t="shared" si="65"/>
        <v>0.3</v>
      </c>
      <c r="AK34" s="26">
        <f t="shared" si="65"/>
        <v>0.3</v>
      </c>
      <c r="AL34" s="26">
        <f t="shared" si="65"/>
        <v>0.3</v>
      </c>
      <c r="AM34" s="26">
        <f>$D$34</f>
        <v>0.6</v>
      </c>
      <c r="AN34" s="26">
        <f aca="true" t="shared" si="66" ref="AN34:AX34">$D$34</f>
        <v>0.6</v>
      </c>
      <c r="AO34" s="26">
        <f t="shared" si="66"/>
        <v>0.6</v>
      </c>
      <c r="AP34" s="26">
        <f t="shared" si="66"/>
        <v>0.6</v>
      </c>
      <c r="AQ34" s="26">
        <f t="shared" si="66"/>
        <v>0.6</v>
      </c>
      <c r="AR34" s="26">
        <f t="shared" si="66"/>
        <v>0.6</v>
      </c>
      <c r="AS34" s="26">
        <f t="shared" si="66"/>
        <v>0.6</v>
      </c>
      <c r="AT34" s="26">
        <f t="shared" si="66"/>
        <v>0.6</v>
      </c>
      <c r="AU34" s="26">
        <f t="shared" si="66"/>
        <v>0.6</v>
      </c>
      <c r="AV34" s="26">
        <f t="shared" si="66"/>
        <v>0.6</v>
      </c>
      <c r="AW34" s="26">
        <f t="shared" si="66"/>
        <v>0.6</v>
      </c>
      <c r="AX34" s="26">
        <f t="shared" si="66"/>
        <v>0.6</v>
      </c>
      <c r="AZ34" s="23">
        <f>($G$34/12)*O34</f>
        <v>0</v>
      </c>
      <c r="BA34" s="23">
        <f aca="true" t="shared" si="67" ref="BA34:BK34">($G$34/12)*P34</f>
        <v>0</v>
      </c>
      <c r="BB34" s="23">
        <f t="shared" si="67"/>
        <v>0</v>
      </c>
      <c r="BC34" s="23">
        <f t="shared" si="67"/>
        <v>0</v>
      </c>
      <c r="BD34" s="23">
        <f t="shared" si="67"/>
        <v>0</v>
      </c>
      <c r="BE34" s="23">
        <f t="shared" si="67"/>
        <v>0</v>
      </c>
      <c r="BF34" s="23">
        <f t="shared" si="67"/>
        <v>0</v>
      </c>
      <c r="BG34" s="23">
        <f t="shared" si="67"/>
        <v>0</v>
      </c>
      <c r="BH34" s="23">
        <f t="shared" si="67"/>
        <v>0</v>
      </c>
      <c r="BI34" s="23">
        <f t="shared" si="67"/>
        <v>0</v>
      </c>
      <c r="BJ34" s="23">
        <f t="shared" si="67"/>
        <v>0</v>
      </c>
      <c r="BK34" s="23">
        <f t="shared" si="67"/>
        <v>0</v>
      </c>
      <c r="BL34" s="23">
        <f>($H$34/12)*AA34</f>
        <v>1545</v>
      </c>
      <c r="BM34" s="23">
        <f aca="true" t="shared" si="68" ref="BM34:BW34">($H$34/12)*AB34</f>
        <v>1545</v>
      </c>
      <c r="BN34" s="23">
        <f t="shared" si="68"/>
        <v>1545</v>
      </c>
      <c r="BO34" s="23">
        <f t="shared" si="68"/>
        <v>1545</v>
      </c>
      <c r="BP34" s="23">
        <f t="shared" si="68"/>
        <v>1545</v>
      </c>
      <c r="BQ34" s="23">
        <f t="shared" si="68"/>
        <v>1545</v>
      </c>
      <c r="BR34" s="23">
        <f t="shared" si="68"/>
        <v>1545</v>
      </c>
      <c r="BS34" s="23">
        <f t="shared" si="68"/>
        <v>1545</v>
      </c>
      <c r="BT34" s="23">
        <f t="shared" si="68"/>
        <v>1545</v>
      </c>
      <c r="BU34" s="23">
        <f t="shared" si="68"/>
        <v>1545</v>
      </c>
      <c r="BV34" s="23">
        <f t="shared" si="68"/>
        <v>1545</v>
      </c>
      <c r="BW34" s="23">
        <f t="shared" si="68"/>
        <v>1545</v>
      </c>
      <c r="BX34" s="23">
        <f>($I$34/12)*AM34</f>
        <v>3182.7</v>
      </c>
      <c r="BY34" s="23">
        <f aca="true" t="shared" si="69" ref="BY34:CI34">($I$34/12)*AN34</f>
        <v>3182.7</v>
      </c>
      <c r="BZ34" s="23">
        <f t="shared" si="69"/>
        <v>3182.7</v>
      </c>
      <c r="CA34" s="23">
        <f t="shared" si="69"/>
        <v>3182.7</v>
      </c>
      <c r="CB34" s="23">
        <f t="shared" si="69"/>
        <v>3182.7</v>
      </c>
      <c r="CC34" s="23">
        <f t="shared" si="69"/>
        <v>3182.7</v>
      </c>
      <c r="CD34" s="23">
        <f t="shared" si="69"/>
        <v>3182.7</v>
      </c>
      <c r="CE34" s="23">
        <f t="shared" si="69"/>
        <v>3182.7</v>
      </c>
      <c r="CF34" s="23">
        <f t="shared" si="69"/>
        <v>3182.7</v>
      </c>
      <c r="CG34" s="23">
        <f t="shared" si="69"/>
        <v>3182.7</v>
      </c>
      <c r="CH34" s="23">
        <f t="shared" si="69"/>
        <v>3182.7</v>
      </c>
      <c r="CI34" s="112">
        <f t="shared" si="69"/>
        <v>3182.7</v>
      </c>
    </row>
    <row r="35" spans="1:87" s="26" customFormat="1" ht="12.75" customHeight="1">
      <c r="A35" s="45" t="s">
        <v>136</v>
      </c>
      <c r="B35" s="211">
        <f>B112+B127+B138</f>
        <v>0.3</v>
      </c>
      <c r="C35" s="45">
        <f>C112+C127+C138</f>
        <v>1.9</v>
      </c>
      <c r="D35" s="45">
        <f>D112+D127+D138</f>
        <v>3.3</v>
      </c>
      <c r="E35" s="246"/>
      <c r="F35" s="212">
        <f>F112</f>
        <v>35000</v>
      </c>
      <c r="G35" s="23">
        <f t="shared" si="34"/>
        <v>35000</v>
      </c>
      <c r="H35" s="23">
        <f t="shared" si="35"/>
        <v>36050</v>
      </c>
      <c r="I35" s="23">
        <f t="shared" si="36"/>
        <v>37131.5</v>
      </c>
      <c r="J35" s="246"/>
      <c r="K35" s="158">
        <f t="shared" si="37"/>
        <v>10499.999999999998</v>
      </c>
      <c r="L35" s="153">
        <f t="shared" si="38"/>
        <v>68494.99999999999</v>
      </c>
      <c r="M35" s="153">
        <f t="shared" si="39"/>
        <v>122533.95000000001</v>
      </c>
      <c r="N35" s="246"/>
      <c r="O35" s="26">
        <f>$B$35</f>
        <v>0.3</v>
      </c>
      <c r="P35" s="26">
        <f aca="true" t="shared" si="70" ref="P35:Z35">$B$35</f>
        <v>0.3</v>
      </c>
      <c r="Q35" s="26">
        <f t="shared" si="70"/>
        <v>0.3</v>
      </c>
      <c r="R35" s="26">
        <f t="shared" si="70"/>
        <v>0.3</v>
      </c>
      <c r="S35" s="26">
        <f t="shared" si="70"/>
        <v>0.3</v>
      </c>
      <c r="T35" s="26">
        <f t="shared" si="70"/>
        <v>0.3</v>
      </c>
      <c r="U35" s="26">
        <f t="shared" si="70"/>
        <v>0.3</v>
      </c>
      <c r="V35" s="26">
        <f t="shared" si="70"/>
        <v>0.3</v>
      </c>
      <c r="W35" s="26">
        <f t="shared" si="70"/>
        <v>0.3</v>
      </c>
      <c r="X35" s="26">
        <f t="shared" si="70"/>
        <v>0.3</v>
      </c>
      <c r="Y35" s="26">
        <f t="shared" si="70"/>
        <v>0.3</v>
      </c>
      <c r="Z35" s="26">
        <f t="shared" si="70"/>
        <v>0.3</v>
      </c>
      <c r="AA35" s="26">
        <f>$C$35</f>
        <v>1.9</v>
      </c>
      <c r="AB35" s="26">
        <f aca="true" t="shared" si="71" ref="AB35:AL35">$C$35</f>
        <v>1.9</v>
      </c>
      <c r="AC35" s="26">
        <f t="shared" si="71"/>
        <v>1.9</v>
      </c>
      <c r="AD35" s="26">
        <f t="shared" si="71"/>
        <v>1.9</v>
      </c>
      <c r="AE35" s="26">
        <f t="shared" si="71"/>
        <v>1.9</v>
      </c>
      <c r="AF35" s="26">
        <f t="shared" si="71"/>
        <v>1.9</v>
      </c>
      <c r="AG35" s="26">
        <f t="shared" si="71"/>
        <v>1.9</v>
      </c>
      <c r="AH35" s="26">
        <f t="shared" si="71"/>
        <v>1.9</v>
      </c>
      <c r="AI35" s="26">
        <f t="shared" si="71"/>
        <v>1.9</v>
      </c>
      <c r="AJ35" s="26">
        <f t="shared" si="71"/>
        <v>1.9</v>
      </c>
      <c r="AK35" s="26">
        <f t="shared" si="71"/>
        <v>1.9</v>
      </c>
      <c r="AL35" s="26">
        <f t="shared" si="71"/>
        <v>1.9</v>
      </c>
      <c r="AM35" s="26">
        <f>$D$35</f>
        <v>3.3</v>
      </c>
      <c r="AN35" s="26">
        <f aca="true" t="shared" si="72" ref="AN35:AX35">$D$35</f>
        <v>3.3</v>
      </c>
      <c r="AO35" s="26">
        <f t="shared" si="72"/>
        <v>3.3</v>
      </c>
      <c r="AP35" s="26">
        <f t="shared" si="72"/>
        <v>3.3</v>
      </c>
      <c r="AQ35" s="26">
        <f t="shared" si="72"/>
        <v>3.3</v>
      </c>
      <c r="AR35" s="26">
        <f t="shared" si="72"/>
        <v>3.3</v>
      </c>
      <c r="AS35" s="26">
        <f t="shared" si="72"/>
        <v>3.3</v>
      </c>
      <c r="AT35" s="26">
        <f t="shared" si="72"/>
        <v>3.3</v>
      </c>
      <c r="AU35" s="26">
        <f t="shared" si="72"/>
        <v>3.3</v>
      </c>
      <c r="AV35" s="26">
        <f t="shared" si="72"/>
        <v>3.3</v>
      </c>
      <c r="AW35" s="26">
        <f t="shared" si="72"/>
        <v>3.3</v>
      </c>
      <c r="AX35" s="26">
        <f t="shared" si="72"/>
        <v>3.3</v>
      </c>
      <c r="AZ35" s="23">
        <f>($G$35/12)*O35</f>
        <v>874.9999999999999</v>
      </c>
      <c r="BA35" s="23">
        <f aca="true" t="shared" si="73" ref="BA35:BK35">($G$35/12)*P35</f>
        <v>874.9999999999999</v>
      </c>
      <c r="BB35" s="23">
        <f t="shared" si="73"/>
        <v>874.9999999999999</v>
      </c>
      <c r="BC35" s="23">
        <f t="shared" si="73"/>
        <v>874.9999999999999</v>
      </c>
      <c r="BD35" s="23">
        <f t="shared" si="73"/>
        <v>874.9999999999999</v>
      </c>
      <c r="BE35" s="23">
        <f t="shared" si="73"/>
        <v>874.9999999999999</v>
      </c>
      <c r="BF35" s="23">
        <f t="shared" si="73"/>
        <v>874.9999999999999</v>
      </c>
      <c r="BG35" s="23">
        <f t="shared" si="73"/>
        <v>874.9999999999999</v>
      </c>
      <c r="BH35" s="23">
        <f t="shared" si="73"/>
        <v>874.9999999999999</v>
      </c>
      <c r="BI35" s="23">
        <f t="shared" si="73"/>
        <v>874.9999999999999</v>
      </c>
      <c r="BJ35" s="23">
        <f t="shared" si="73"/>
        <v>874.9999999999999</v>
      </c>
      <c r="BK35" s="23">
        <f t="shared" si="73"/>
        <v>874.9999999999999</v>
      </c>
      <c r="BL35" s="23">
        <f>($H$35/12)*AA35</f>
        <v>5707.916666666666</v>
      </c>
      <c r="BM35" s="23">
        <f aca="true" t="shared" si="74" ref="BM35:BW35">($H$35/12)*AB35</f>
        <v>5707.916666666666</v>
      </c>
      <c r="BN35" s="23">
        <f t="shared" si="74"/>
        <v>5707.916666666666</v>
      </c>
      <c r="BO35" s="23">
        <f t="shared" si="74"/>
        <v>5707.916666666666</v>
      </c>
      <c r="BP35" s="23">
        <f t="shared" si="74"/>
        <v>5707.916666666666</v>
      </c>
      <c r="BQ35" s="23">
        <f t="shared" si="74"/>
        <v>5707.916666666666</v>
      </c>
      <c r="BR35" s="23">
        <f t="shared" si="74"/>
        <v>5707.916666666666</v>
      </c>
      <c r="BS35" s="23">
        <f t="shared" si="74"/>
        <v>5707.916666666666</v>
      </c>
      <c r="BT35" s="23">
        <f t="shared" si="74"/>
        <v>5707.916666666666</v>
      </c>
      <c r="BU35" s="23">
        <f t="shared" si="74"/>
        <v>5707.916666666666</v>
      </c>
      <c r="BV35" s="23">
        <f t="shared" si="74"/>
        <v>5707.916666666666</v>
      </c>
      <c r="BW35" s="23">
        <f t="shared" si="74"/>
        <v>5707.916666666666</v>
      </c>
      <c r="BX35" s="23">
        <f>($I$35/12)*AM35</f>
        <v>10211.162499999999</v>
      </c>
      <c r="BY35" s="23">
        <f aca="true" t="shared" si="75" ref="BY35:CI35">($I$35/12)*AN35</f>
        <v>10211.162499999999</v>
      </c>
      <c r="BZ35" s="23">
        <f t="shared" si="75"/>
        <v>10211.162499999999</v>
      </c>
      <c r="CA35" s="23">
        <f t="shared" si="75"/>
        <v>10211.162499999999</v>
      </c>
      <c r="CB35" s="23">
        <f t="shared" si="75"/>
        <v>10211.162499999999</v>
      </c>
      <c r="CC35" s="23">
        <f t="shared" si="75"/>
        <v>10211.162499999999</v>
      </c>
      <c r="CD35" s="23">
        <f t="shared" si="75"/>
        <v>10211.162499999999</v>
      </c>
      <c r="CE35" s="23">
        <f t="shared" si="75"/>
        <v>10211.162499999999</v>
      </c>
      <c r="CF35" s="23">
        <f t="shared" si="75"/>
        <v>10211.162499999999</v>
      </c>
      <c r="CG35" s="23">
        <f t="shared" si="75"/>
        <v>10211.162499999999</v>
      </c>
      <c r="CH35" s="23">
        <f t="shared" si="75"/>
        <v>10211.162499999999</v>
      </c>
      <c r="CI35" s="112">
        <f t="shared" si="75"/>
        <v>10211.162499999999</v>
      </c>
    </row>
    <row r="36" spans="1:87" s="52" customFormat="1" ht="12.75" customHeight="1">
      <c r="A36" s="34" t="s">
        <v>137</v>
      </c>
      <c r="B36" s="33">
        <f>B76</f>
        <v>3</v>
      </c>
      <c r="C36" s="34">
        <f>C76</f>
        <v>4</v>
      </c>
      <c r="D36" s="34">
        <f>D76</f>
        <v>4</v>
      </c>
      <c r="E36" s="248"/>
      <c r="F36" s="213">
        <f>F76</f>
        <v>75000</v>
      </c>
      <c r="G36" s="116">
        <f t="shared" si="34"/>
        <v>75000</v>
      </c>
      <c r="H36" s="116">
        <f t="shared" si="35"/>
        <v>77250</v>
      </c>
      <c r="I36" s="116">
        <f t="shared" si="36"/>
        <v>79567.5</v>
      </c>
      <c r="J36" s="248"/>
      <c r="K36" s="214">
        <f t="shared" si="37"/>
        <v>206250</v>
      </c>
      <c r="L36" s="215">
        <f t="shared" si="38"/>
        <v>309000</v>
      </c>
      <c r="M36" s="215">
        <f t="shared" si="39"/>
        <v>318270</v>
      </c>
      <c r="N36" s="248"/>
      <c r="O36" s="52">
        <f>O76</f>
        <v>0</v>
      </c>
      <c r="P36" s="52">
        <f aca="true" t="shared" si="76" ref="P36:Z36">$B$36</f>
        <v>3</v>
      </c>
      <c r="Q36" s="52">
        <f t="shared" si="76"/>
        <v>3</v>
      </c>
      <c r="R36" s="52">
        <f t="shared" si="76"/>
        <v>3</v>
      </c>
      <c r="S36" s="52">
        <f t="shared" si="76"/>
        <v>3</v>
      </c>
      <c r="T36" s="52">
        <f t="shared" si="76"/>
        <v>3</v>
      </c>
      <c r="U36" s="52">
        <f t="shared" si="76"/>
        <v>3</v>
      </c>
      <c r="V36" s="52">
        <f t="shared" si="76"/>
        <v>3</v>
      </c>
      <c r="W36" s="52">
        <f t="shared" si="76"/>
        <v>3</v>
      </c>
      <c r="X36" s="52">
        <f t="shared" si="76"/>
        <v>3</v>
      </c>
      <c r="Y36" s="52">
        <f t="shared" si="76"/>
        <v>3</v>
      </c>
      <c r="Z36" s="52">
        <f t="shared" si="76"/>
        <v>3</v>
      </c>
      <c r="AA36" s="52">
        <f>$C$36</f>
        <v>4</v>
      </c>
      <c r="AB36" s="52">
        <f aca="true" t="shared" si="77" ref="AB36:AL36">$C$36</f>
        <v>4</v>
      </c>
      <c r="AC36" s="52">
        <f t="shared" si="77"/>
        <v>4</v>
      </c>
      <c r="AD36" s="52">
        <f t="shared" si="77"/>
        <v>4</v>
      </c>
      <c r="AE36" s="52">
        <f t="shared" si="77"/>
        <v>4</v>
      </c>
      <c r="AF36" s="52">
        <f t="shared" si="77"/>
        <v>4</v>
      </c>
      <c r="AG36" s="52">
        <f t="shared" si="77"/>
        <v>4</v>
      </c>
      <c r="AH36" s="52">
        <f t="shared" si="77"/>
        <v>4</v>
      </c>
      <c r="AI36" s="52">
        <f t="shared" si="77"/>
        <v>4</v>
      </c>
      <c r="AJ36" s="52">
        <f t="shared" si="77"/>
        <v>4</v>
      </c>
      <c r="AK36" s="52">
        <f t="shared" si="77"/>
        <v>4</v>
      </c>
      <c r="AL36" s="52">
        <f t="shared" si="77"/>
        <v>4</v>
      </c>
      <c r="AM36" s="52">
        <f>$D$36</f>
        <v>4</v>
      </c>
      <c r="AN36" s="52">
        <f aca="true" t="shared" si="78" ref="AN36:AX36">$D$36</f>
        <v>4</v>
      </c>
      <c r="AO36" s="52">
        <f t="shared" si="78"/>
        <v>4</v>
      </c>
      <c r="AP36" s="52">
        <f t="shared" si="78"/>
        <v>4</v>
      </c>
      <c r="AQ36" s="52">
        <f t="shared" si="78"/>
        <v>4</v>
      </c>
      <c r="AR36" s="52">
        <f t="shared" si="78"/>
        <v>4</v>
      </c>
      <c r="AS36" s="52">
        <f t="shared" si="78"/>
        <v>4</v>
      </c>
      <c r="AT36" s="52">
        <f t="shared" si="78"/>
        <v>4</v>
      </c>
      <c r="AU36" s="52">
        <f t="shared" si="78"/>
        <v>4</v>
      </c>
      <c r="AV36" s="52">
        <f t="shared" si="78"/>
        <v>4</v>
      </c>
      <c r="AW36" s="52">
        <f t="shared" si="78"/>
        <v>4</v>
      </c>
      <c r="AX36" s="52">
        <f t="shared" si="78"/>
        <v>4</v>
      </c>
      <c r="AZ36" s="116">
        <f>($G$36/12)*O36</f>
        <v>0</v>
      </c>
      <c r="BA36" s="116">
        <f aca="true" t="shared" si="79" ref="BA36:BK36">($G$36/12)*P36</f>
        <v>18750</v>
      </c>
      <c r="BB36" s="116">
        <f t="shared" si="79"/>
        <v>18750</v>
      </c>
      <c r="BC36" s="116">
        <f t="shared" si="79"/>
        <v>18750</v>
      </c>
      <c r="BD36" s="116">
        <f t="shared" si="79"/>
        <v>18750</v>
      </c>
      <c r="BE36" s="116">
        <f t="shared" si="79"/>
        <v>18750</v>
      </c>
      <c r="BF36" s="116">
        <f t="shared" si="79"/>
        <v>18750</v>
      </c>
      <c r="BG36" s="116">
        <f t="shared" si="79"/>
        <v>18750</v>
      </c>
      <c r="BH36" s="116">
        <f t="shared" si="79"/>
        <v>18750</v>
      </c>
      <c r="BI36" s="116">
        <f t="shared" si="79"/>
        <v>18750</v>
      </c>
      <c r="BJ36" s="116">
        <f t="shared" si="79"/>
        <v>18750</v>
      </c>
      <c r="BK36" s="116">
        <f t="shared" si="79"/>
        <v>18750</v>
      </c>
      <c r="BL36" s="116">
        <f>($H$36/12)*AA36</f>
        <v>25750</v>
      </c>
      <c r="BM36" s="116">
        <f aca="true" t="shared" si="80" ref="BM36:BW36">($H$36/12)*AB36</f>
        <v>25750</v>
      </c>
      <c r="BN36" s="116">
        <f t="shared" si="80"/>
        <v>25750</v>
      </c>
      <c r="BO36" s="116">
        <f t="shared" si="80"/>
        <v>25750</v>
      </c>
      <c r="BP36" s="116">
        <f t="shared" si="80"/>
        <v>25750</v>
      </c>
      <c r="BQ36" s="116">
        <f t="shared" si="80"/>
        <v>25750</v>
      </c>
      <c r="BR36" s="116">
        <f t="shared" si="80"/>
        <v>25750</v>
      </c>
      <c r="BS36" s="116">
        <f t="shared" si="80"/>
        <v>25750</v>
      </c>
      <c r="BT36" s="116">
        <f t="shared" si="80"/>
        <v>25750</v>
      </c>
      <c r="BU36" s="116">
        <f t="shared" si="80"/>
        <v>25750</v>
      </c>
      <c r="BV36" s="116">
        <f t="shared" si="80"/>
        <v>25750</v>
      </c>
      <c r="BW36" s="116">
        <f t="shared" si="80"/>
        <v>25750</v>
      </c>
      <c r="BX36" s="116">
        <f>($I$36/12)*AM36</f>
        <v>26522.5</v>
      </c>
      <c r="BY36" s="116">
        <f aca="true" t="shared" si="81" ref="BY36:CI36">($I$36/12)*AN36</f>
        <v>26522.5</v>
      </c>
      <c r="BZ36" s="116">
        <f t="shared" si="81"/>
        <v>26522.5</v>
      </c>
      <c r="CA36" s="116">
        <f t="shared" si="81"/>
        <v>26522.5</v>
      </c>
      <c r="CB36" s="116">
        <f t="shared" si="81"/>
        <v>26522.5</v>
      </c>
      <c r="CC36" s="116">
        <f t="shared" si="81"/>
        <v>26522.5</v>
      </c>
      <c r="CD36" s="116">
        <f t="shared" si="81"/>
        <v>26522.5</v>
      </c>
      <c r="CE36" s="116">
        <f t="shared" si="81"/>
        <v>26522.5</v>
      </c>
      <c r="CF36" s="116">
        <f t="shared" si="81"/>
        <v>26522.5</v>
      </c>
      <c r="CG36" s="116">
        <f t="shared" si="81"/>
        <v>26522.5</v>
      </c>
      <c r="CH36" s="116">
        <f t="shared" si="81"/>
        <v>26522.5</v>
      </c>
      <c r="CI36" s="119">
        <f t="shared" si="81"/>
        <v>26522.5</v>
      </c>
    </row>
    <row r="37" spans="1:114" s="52" customFormat="1" ht="12.75" customHeight="1">
      <c r="A37" s="52" t="s">
        <v>193</v>
      </c>
      <c r="B37" s="33">
        <f>SUM(B30:B36)</f>
        <v>10.1</v>
      </c>
      <c r="C37" s="34">
        <f>SUM(C30:C36)</f>
        <v>16</v>
      </c>
      <c r="D37" s="34">
        <f>SUM(D30:D36)</f>
        <v>19.7</v>
      </c>
      <c r="E37" s="248"/>
      <c r="F37" s="213"/>
      <c r="G37" s="116"/>
      <c r="H37" s="116"/>
      <c r="I37" s="116"/>
      <c r="J37" s="248"/>
      <c r="K37" s="214">
        <f>SUM(K30:K36)</f>
        <v>520750</v>
      </c>
      <c r="L37" s="215">
        <f>SUM(L30:L36)</f>
        <v>928545</v>
      </c>
      <c r="M37" s="215">
        <f>SUM(M30:M36)</f>
        <v>1160094.1500000001</v>
      </c>
      <c r="N37" s="248"/>
      <c r="O37" s="52">
        <f aca="true" t="shared" si="82" ref="O37:AX37">SUM(O30:O36)</f>
        <v>2.3</v>
      </c>
      <c r="P37" s="52">
        <f t="shared" si="82"/>
        <v>5.3</v>
      </c>
      <c r="Q37" s="52">
        <f t="shared" si="82"/>
        <v>5.3</v>
      </c>
      <c r="R37" s="52">
        <f t="shared" si="82"/>
        <v>10.1</v>
      </c>
      <c r="S37" s="52">
        <f t="shared" si="82"/>
        <v>10.1</v>
      </c>
      <c r="T37" s="52">
        <f t="shared" si="82"/>
        <v>10.1</v>
      </c>
      <c r="U37" s="52">
        <f t="shared" si="82"/>
        <v>10.1</v>
      </c>
      <c r="V37" s="52">
        <f t="shared" si="82"/>
        <v>10.1</v>
      </c>
      <c r="W37" s="52">
        <f t="shared" si="82"/>
        <v>10.1</v>
      </c>
      <c r="X37" s="52">
        <f t="shared" si="82"/>
        <v>10.1</v>
      </c>
      <c r="Y37" s="52">
        <f t="shared" si="82"/>
        <v>10.1</v>
      </c>
      <c r="Z37" s="52">
        <f t="shared" si="82"/>
        <v>10.1</v>
      </c>
      <c r="AA37" s="52">
        <f t="shared" si="82"/>
        <v>16</v>
      </c>
      <c r="AB37" s="52">
        <f t="shared" si="82"/>
        <v>16</v>
      </c>
      <c r="AC37" s="52">
        <f t="shared" si="82"/>
        <v>16</v>
      </c>
      <c r="AD37" s="52">
        <f t="shared" si="82"/>
        <v>16</v>
      </c>
      <c r="AE37" s="52">
        <f t="shared" si="82"/>
        <v>16</v>
      </c>
      <c r="AF37" s="52">
        <f t="shared" si="82"/>
        <v>16</v>
      </c>
      <c r="AG37" s="52">
        <f t="shared" si="82"/>
        <v>16</v>
      </c>
      <c r="AH37" s="52">
        <f t="shared" si="82"/>
        <v>16</v>
      </c>
      <c r="AI37" s="52">
        <f t="shared" si="82"/>
        <v>16</v>
      </c>
      <c r="AJ37" s="52">
        <f t="shared" si="82"/>
        <v>16</v>
      </c>
      <c r="AK37" s="52">
        <f t="shared" si="82"/>
        <v>16</v>
      </c>
      <c r="AL37" s="52">
        <f t="shared" si="82"/>
        <v>16</v>
      </c>
      <c r="AM37" s="52">
        <f t="shared" si="82"/>
        <v>19.7</v>
      </c>
      <c r="AN37" s="52">
        <f t="shared" si="82"/>
        <v>19.7</v>
      </c>
      <c r="AO37" s="52">
        <f t="shared" si="82"/>
        <v>19.7</v>
      </c>
      <c r="AP37" s="52">
        <f t="shared" si="82"/>
        <v>19.7</v>
      </c>
      <c r="AQ37" s="52">
        <f t="shared" si="82"/>
        <v>19.7</v>
      </c>
      <c r="AR37" s="52">
        <f t="shared" si="82"/>
        <v>19.7</v>
      </c>
      <c r="AS37" s="52">
        <f t="shared" si="82"/>
        <v>19.7</v>
      </c>
      <c r="AT37" s="52">
        <f t="shared" si="82"/>
        <v>19.7</v>
      </c>
      <c r="AU37" s="52">
        <f t="shared" si="82"/>
        <v>19.7</v>
      </c>
      <c r="AV37" s="52">
        <f t="shared" si="82"/>
        <v>19.7</v>
      </c>
      <c r="AW37" s="52">
        <f t="shared" si="82"/>
        <v>19.7</v>
      </c>
      <c r="AX37" s="52">
        <f t="shared" si="82"/>
        <v>19.7</v>
      </c>
      <c r="AZ37" s="116">
        <f aca="true" t="shared" si="83" ref="AZ37:CI37">SUM(AZ30:AZ36)</f>
        <v>14208.333333333332</v>
      </c>
      <c r="BA37" s="116">
        <f t="shared" si="83"/>
        <v>32958.33333333333</v>
      </c>
      <c r="BB37" s="116">
        <f t="shared" si="83"/>
        <v>32958.33333333333</v>
      </c>
      <c r="BC37" s="116">
        <f t="shared" si="83"/>
        <v>48958.33333333333</v>
      </c>
      <c r="BD37" s="116">
        <f t="shared" si="83"/>
        <v>48958.33333333333</v>
      </c>
      <c r="BE37" s="116">
        <f t="shared" si="83"/>
        <v>48958.33333333333</v>
      </c>
      <c r="BF37" s="116">
        <f t="shared" si="83"/>
        <v>48958.33333333333</v>
      </c>
      <c r="BG37" s="116">
        <f t="shared" si="83"/>
        <v>48958.33333333333</v>
      </c>
      <c r="BH37" s="116">
        <f t="shared" si="83"/>
        <v>48958.33333333333</v>
      </c>
      <c r="BI37" s="116">
        <f t="shared" si="83"/>
        <v>48958.33333333333</v>
      </c>
      <c r="BJ37" s="116">
        <f t="shared" si="83"/>
        <v>48958.33333333333</v>
      </c>
      <c r="BK37" s="116">
        <f t="shared" si="83"/>
        <v>48958.33333333333</v>
      </c>
      <c r="BL37" s="116">
        <f t="shared" si="83"/>
        <v>77378.75</v>
      </c>
      <c r="BM37" s="116">
        <f t="shared" si="83"/>
        <v>77378.75</v>
      </c>
      <c r="BN37" s="116">
        <f t="shared" si="83"/>
        <v>77378.75</v>
      </c>
      <c r="BO37" s="116">
        <f t="shared" si="83"/>
        <v>77378.75</v>
      </c>
      <c r="BP37" s="116">
        <f t="shared" si="83"/>
        <v>77378.75</v>
      </c>
      <c r="BQ37" s="116">
        <f t="shared" si="83"/>
        <v>77378.75</v>
      </c>
      <c r="BR37" s="116">
        <f t="shared" si="83"/>
        <v>77378.75</v>
      </c>
      <c r="BS37" s="116">
        <f t="shared" si="83"/>
        <v>77378.75</v>
      </c>
      <c r="BT37" s="116">
        <f t="shared" si="83"/>
        <v>77378.75</v>
      </c>
      <c r="BU37" s="116">
        <f t="shared" si="83"/>
        <v>77378.75</v>
      </c>
      <c r="BV37" s="116">
        <f t="shared" si="83"/>
        <v>77378.75</v>
      </c>
      <c r="BW37" s="116">
        <f t="shared" si="83"/>
        <v>77378.75</v>
      </c>
      <c r="BX37" s="116">
        <f t="shared" si="83"/>
        <v>96674.5125</v>
      </c>
      <c r="BY37" s="116">
        <f t="shared" si="83"/>
        <v>96674.5125</v>
      </c>
      <c r="BZ37" s="116">
        <f t="shared" si="83"/>
        <v>96674.5125</v>
      </c>
      <c r="CA37" s="116">
        <f t="shared" si="83"/>
        <v>96674.5125</v>
      </c>
      <c r="CB37" s="116">
        <f t="shared" si="83"/>
        <v>96674.5125</v>
      </c>
      <c r="CC37" s="116">
        <f t="shared" si="83"/>
        <v>96674.5125</v>
      </c>
      <c r="CD37" s="116">
        <f t="shared" si="83"/>
        <v>96674.5125</v>
      </c>
      <c r="CE37" s="116">
        <f t="shared" si="83"/>
        <v>96674.5125</v>
      </c>
      <c r="CF37" s="116">
        <f t="shared" si="83"/>
        <v>96674.5125</v>
      </c>
      <c r="CG37" s="116">
        <f t="shared" si="83"/>
        <v>96674.5125</v>
      </c>
      <c r="CH37" s="116">
        <f t="shared" si="83"/>
        <v>96674.5125</v>
      </c>
      <c r="CI37" s="119">
        <f t="shared" si="83"/>
        <v>96674.5125</v>
      </c>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row>
    <row r="38" spans="1:87" ht="12.75" customHeight="1">
      <c r="A38" s="25" t="s">
        <v>407</v>
      </c>
      <c r="B38" s="211"/>
      <c r="C38" s="45"/>
      <c r="D38" s="45"/>
      <c r="E38" s="246"/>
      <c r="F38" s="212"/>
      <c r="G38" s="23"/>
      <c r="H38" s="23"/>
      <c r="I38" s="23"/>
      <c r="J38" s="246"/>
      <c r="K38" s="158">
        <f>K37*$B$6</f>
        <v>130187.5</v>
      </c>
      <c r="L38" s="153">
        <f>L37*$C$6</f>
        <v>232136.25</v>
      </c>
      <c r="M38" s="153">
        <f>M37*$D$6</f>
        <v>290023.53750000003</v>
      </c>
      <c r="N38" s="24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3">
        <f aca="true" t="shared" si="84" ref="AZ38:BK38">AZ37*$B$6</f>
        <v>3552.083333333333</v>
      </c>
      <c r="BA38" s="23">
        <f t="shared" si="84"/>
        <v>8239.583333333332</v>
      </c>
      <c r="BB38" s="23">
        <f t="shared" si="84"/>
        <v>8239.583333333332</v>
      </c>
      <c r="BC38" s="23">
        <f t="shared" si="84"/>
        <v>12239.583333333332</v>
      </c>
      <c r="BD38" s="23">
        <f t="shared" si="84"/>
        <v>12239.583333333332</v>
      </c>
      <c r="BE38" s="23">
        <f t="shared" si="84"/>
        <v>12239.583333333332</v>
      </c>
      <c r="BF38" s="23">
        <f t="shared" si="84"/>
        <v>12239.583333333332</v>
      </c>
      <c r="BG38" s="23">
        <f t="shared" si="84"/>
        <v>12239.583333333332</v>
      </c>
      <c r="BH38" s="23">
        <f t="shared" si="84"/>
        <v>12239.583333333332</v>
      </c>
      <c r="BI38" s="23">
        <f t="shared" si="84"/>
        <v>12239.583333333332</v>
      </c>
      <c r="BJ38" s="23">
        <f t="shared" si="84"/>
        <v>12239.583333333332</v>
      </c>
      <c r="BK38" s="23">
        <f t="shared" si="84"/>
        <v>12239.583333333332</v>
      </c>
      <c r="BL38" s="23">
        <f aca="true" t="shared" si="85" ref="BL38:BW38">BL37*$C$6</f>
        <v>19344.6875</v>
      </c>
      <c r="BM38" s="23">
        <f t="shared" si="85"/>
        <v>19344.6875</v>
      </c>
      <c r="BN38" s="23">
        <f t="shared" si="85"/>
        <v>19344.6875</v>
      </c>
      <c r="BO38" s="23">
        <f t="shared" si="85"/>
        <v>19344.6875</v>
      </c>
      <c r="BP38" s="23">
        <f t="shared" si="85"/>
        <v>19344.6875</v>
      </c>
      <c r="BQ38" s="23">
        <f t="shared" si="85"/>
        <v>19344.6875</v>
      </c>
      <c r="BR38" s="23">
        <f t="shared" si="85"/>
        <v>19344.6875</v>
      </c>
      <c r="BS38" s="23">
        <f t="shared" si="85"/>
        <v>19344.6875</v>
      </c>
      <c r="BT38" s="23">
        <f t="shared" si="85"/>
        <v>19344.6875</v>
      </c>
      <c r="BU38" s="23">
        <f t="shared" si="85"/>
        <v>19344.6875</v>
      </c>
      <c r="BV38" s="23">
        <f t="shared" si="85"/>
        <v>19344.6875</v>
      </c>
      <c r="BW38" s="23">
        <f t="shared" si="85"/>
        <v>19344.6875</v>
      </c>
      <c r="BX38" s="23">
        <f aca="true" t="shared" si="86" ref="BX38:CI38">BX37*$D$6</f>
        <v>24168.628125</v>
      </c>
      <c r="BY38" s="23">
        <f t="shared" si="86"/>
        <v>24168.628125</v>
      </c>
      <c r="BZ38" s="23">
        <f t="shared" si="86"/>
        <v>24168.628125</v>
      </c>
      <c r="CA38" s="23">
        <f t="shared" si="86"/>
        <v>24168.628125</v>
      </c>
      <c r="CB38" s="23">
        <f t="shared" si="86"/>
        <v>24168.628125</v>
      </c>
      <c r="CC38" s="23">
        <f t="shared" si="86"/>
        <v>24168.628125</v>
      </c>
      <c r="CD38" s="23">
        <f t="shared" si="86"/>
        <v>24168.628125</v>
      </c>
      <c r="CE38" s="23">
        <f t="shared" si="86"/>
        <v>24168.628125</v>
      </c>
      <c r="CF38" s="23">
        <f t="shared" si="86"/>
        <v>24168.628125</v>
      </c>
      <c r="CG38" s="23">
        <f t="shared" si="86"/>
        <v>24168.628125</v>
      </c>
      <c r="CH38" s="23">
        <f t="shared" si="86"/>
        <v>24168.628125</v>
      </c>
      <c r="CI38" s="112">
        <f t="shared" si="86"/>
        <v>24168.628125</v>
      </c>
    </row>
    <row r="39" spans="1:87" ht="12.75" customHeight="1">
      <c r="A39" s="25" t="s">
        <v>138</v>
      </c>
      <c r="B39" s="211"/>
      <c r="C39" s="45"/>
      <c r="D39" s="45"/>
      <c r="E39" s="246"/>
      <c r="F39" s="212"/>
      <c r="G39" s="23"/>
      <c r="H39" s="23"/>
      <c r="I39" s="23"/>
      <c r="J39" s="246"/>
      <c r="K39" s="158">
        <f>K37+K38</f>
        <v>650937.5</v>
      </c>
      <c r="L39" s="153">
        <f>L37+L38</f>
        <v>1160681.25</v>
      </c>
      <c r="M39" s="153">
        <f>M37+M38</f>
        <v>1450117.6875000002</v>
      </c>
      <c r="N39" s="24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3">
        <f aca="true" t="shared" si="87" ref="AZ39:CI39">AZ37+AZ38</f>
        <v>17760.416666666664</v>
      </c>
      <c r="BA39" s="23">
        <f t="shared" si="87"/>
        <v>41197.91666666666</v>
      </c>
      <c r="BB39" s="23">
        <f t="shared" si="87"/>
        <v>41197.91666666666</v>
      </c>
      <c r="BC39" s="23">
        <f t="shared" si="87"/>
        <v>61197.91666666666</v>
      </c>
      <c r="BD39" s="23">
        <f t="shared" si="87"/>
        <v>61197.91666666666</v>
      </c>
      <c r="BE39" s="23">
        <f t="shared" si="87"/>
        <v>61197.91666666666</v>
      </c>
      <c r="BF39" s="23">
        <f t="shared" si="87"/>
        <v>61197.91666666666</v>
      </c>
      <c r="BG39" s="23">
        <f t="shared" si="87"/>
        <v>61197.91666666666</v>
      </c>
      <c r="BH39" s="23">
        <f t="shared" si="87"/>
        <v>61197.91666666666</v>
      </c>
      <c r="BI39" s="23">
        <f t="shared" si="87"/>
        <v>61197.91666666666</v>
      </c>
      <c r="BJ39" s="23">
        <f t="shared" si="87"/>
        <v>61197.91666666666</v>
      </c>
      <c r="BK39" s="23">
        <f t="shared" si="87"/>
        <v>61197.91666666666</v>
      </c>
      <c r="BL39" s="23">
        <f t="shared" si="87"/>
        <v>96723.4375</v>
      </c>
      <c r="BM39" s="23">
        <f t="shared" si="87"/>
        <v>96723.4375</v>
      </c>
      <c r="BN39" s="23">
        <f t="shared" si="87"/>
        <v>96723.4375</v>
      </c>
      <c r="BO39" s="23">
        <f t="shared" si="87"/>
        <v>96723.4375</v>
      </c>
      <c r="BP39" s="23">
        <f t="shared" si="87"/>
        <v>96723.4375</v>
      </c>
      <c r="BQ39" s="23">
        <f t="shared" si="87"/>
        <v>96723.4375</v>
      </c>
      <c r="BR39" s="23">
        <f t="shared" si="87"/>
        <v>96723.4375</v>
      </c>
      <c r="BS39" s="23">
        <f t="shared" si="87"/>
        <v>96723.4375</v>
      </c>
      <c r="BT39" s="23">
        <f t="shared" si="87"/>
        <v>96723.4375</v>
      </c>
      <c r="BU39" s="23">
        <f t="shared" si="87"/>
        <v>96723.4375</v>
      </c>
      <c r="BV39" s="23">
        <f t="shared" si="87"/>
        <v>96723.4375</v>
      </c>
      <c r="BW39" s="23">
        <f t="shared" si="87"/>
        <v>96723.4375</v>
      </c>
      <c r="BX39" s="23">
        <f t="shared" si="87"/>
        <v>120843.140625</v>
      </c>
      <c r="BY39" s="23">
        <f t="shared" si="87"/>
        <v>120843.140625</v>
      </c>
      <c r="BZ39" s="23">
        <f t="shared" si="87"/>
        <v>120843.140625</v>
      </c>
      <c r="CA39" s="23">
        <f t="shared" si="87"/>
        <v>120843.140625</v>
      </c>
      <c r="CB39" s="23">
        <f t="shared" si="87"/>
        <v>120843.140625</v>
      </c>
      <c r="CC39" s="23">
        <f t="shared" si="87"/>
        <v>120843.140625</v>
      </c>
      <c r="CD39" s="23">
        <f t="shared" si="87"/>
        <v>120843.140625</v>
      </c>
      <c r="CE39" s="23">
        <f t="shared" si="87"/>
        <v>120843.140625</v>
      </c>
      <c r="CF39" s="23">
        <f t="shared" si="87"/>
        <v>120843.140625</v>
      </c>
      <c r="CG39" s="23">
        <f t="shared" si="87"/>
        <v>120843.140625</v>
      </c>
      <c r="CH39" s="23">
        <f t="shared" si="87"/>
        <v>120843.140625</v>
      </c>
      <c r="CI39" s="112">
        <f t="shared" si="87"/>
        <v>120843.140625</v>
      </c>
    </row>
    <row r="40" spans="2:87" ht="12.75" customHeight="1">
      <c r="B40" s="211"/>
      <c r="C40" s="45"/>
      <c r="D40" s="45"/>
      <c r="E40" s="246"/>
      <c r="F40" s="212"/>
      <c r="G40" s="23"/>
      <c r="H40" s="23"/>
      <c r="I40" s="23"/>
      <c r="J40" s="246"/>
      <c r="K40" s="158"/>
      <c r="L40" s="153"/>
      <c r="M40" s="153"/>
      <c r="N40" s="24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112"/>
    </row>
    <row r="41" spans="1:87" ht="12.75" customHeight="1">
      <c r="A41" s="99" t="s">
        <v>251</v>
      </c>
      <c r="B41" s="211"/>
      <c r="C41" s="45"/>
      <c r="D41" s="45"/>
      <c r="E41" s="246"/>
      <c r="F41" s="212"/>
      <c r="G41" s="23"/>
      <c r="H41" s="23"/>
      <c r="I41" s="23"/>
      <c r="J41" s="246"/>
      <c r="K41" s="32"/>
      <c r="L41" s="26"/>
      <c r="M41" s="26"/>
      <c r="N41" s="24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112"/>
    </row>
    <row r="42" spans="1:114" s="26" customFormat="1" ht="12.75" customHeight="1">
      <c r="A42" s="26" t="s">
        <v>139</v>
      </c>
      <c r="B42" s="211">
        <f>B82+B124</f>
        <v>1</v>
      </c>
      <c r="C42" s="45">
        <f>C82+C124</f>
        <v>1.3</v>
      </c>
      <c r="D42" s="45">
        <f>D82+D124</f>
        <v>1.6</v>
      </c>
      <c r="E42" s="246"/>
      <c r="F42" s="212">
        <f>F82</f>
        <v>78000</v>
      </c>
      <c r="G42" s="23">
        <f>F42</f>
        <v>78000</v>
      </c>
      <c r="H42" s="23">
        <f>G42*(1+C5)</f>
        <v>80340</v>
      </c>
      <c r="I42" s="23">
        <f>H42*(1+D5)</f>
        <v>82750.2</v>
      </c>
      <c r="J42" s="246"/>
      <c r="K42" s="158">
        <f>SUM(AZ42:BK42)</f>
        <v>78000</v>
      </c>
      <c r="L42" s="153">
        <f>SUM(BL42:BW42)</f>
        <v>104442</v>
      </c>
      <c r="M42" s="153">
        <f>SUM(BX42:CI42)</f>
        <v>132400.32</v>
      </c>
      <c r="N42" s="246"/>
      <c r="O42" s="26">
        <f>$B$42</f>
        <v>1</v>
      </c>
      <c r="P42" s="26">
        <f aca="true" t="shared" si="88" ref="P42:Z42">$B$42</f>
        <v>1</v>
      </c>
      <c r="Q42" s="26">
        <f t="shared" si="88"/>
        <v>1</v>
      </c>
      <c r="R42" s="26">
        <f t="shared" si="88"/>
        <v>1</v>
      </c>
      <c r="S42" s="26">
        <f t="shared" si="88"/>
        <v>1</v>
      </c>
      <c r="T42" s="26">
        <f t="shared" si="88"/>
        <v>1</v>
      </c>
      <c r="U42" s="26">
        <f t="shared" si="88"/>
        <v>1</v>
      </c>
      <c r="V42" s="26">
        <f t="shared" si="88"/>
        <v>1</v>
      </c>
      <c r="W42" s="26">
        <f t="shared" si="88"/>
        <v>1</v>
      </c>
      <c r="X42" s="26">
        <f t="shared" si="88"/>
        <v>1</v>
      </c>
      <c r="Y42" s="26">
        <f t="shared" si="88"/>
        <v>1</v>
      </c>
      <c r="Z42" s="26">
        <f t="shared" si="88"/>
        <v>1</v>
      </c>
      <c r="AA42" s="26">
        <f>$C$42</f>
        <v>1.3</v>
      </c>
      <c r="AB42" s="26">
        <f aca="true" t="shared" si="89" ref="AB42:AL42">$C$42</f>
        <v>1.3</v>
      </c>
      <c r="AC42" s="26">
        <f t="shared" si="89"/>
        <v>1.3</v>
      </c>
      <c r="AD42" s="26">
        <f t="shared" si="89"/>
        <v>1.3</v>
      </c>
      <c r="AE42" s="26">
        <f t="shared" si="89"/>
        <v>1.3</v>
      </c>
      <c r="AF42" s="26">
        <f t="shared" si="89"/>
        <v>1.3</v>
      </c>
      <c r="AG42" s="26">
        <f t="shared" si="89"/>
        <v>1.3</v>
      </c>
      <c r="AH42" s="26">
        <f t="shared" si="89"/>
        <v>1.3</v>
      </c>
      <c r="AI42" s="26">
        <f t="shared" si="89"/>
        <v>1.3</v>
      </c>
      <c r="AJ42" s="26">
        <f t="shared" si="89"/>
        <v>1.3</v>
      </c>
      <c r="AK42" s="26">
        <f t="shared" si="89"/>
        <v>1.3</v>
      </c>
      <c r="AL42" s="26">
        <f t="shared" si="89"/>
        <v>1.3</v>
      </c>
      <c r="AM42" s="26">
        <f>$D$42</f>
        <v>1.6</v>
      </c>
      <c r="AN42" s="26">
        <f aca="true" t="shared" si="90" ref="AN42:AX42">$D$42</f>
        <v>1.6</v>
      </c>
      <c r="AO42" s="26">
        <f t="shared" si="90"/>
        <v>1.6</v>
      </c>
      <c r="AP42" s="26">
        <f t="shared" si="90"/>
        <v>1.6</v>
      </c>
      <c r="AQ42" s="26">
        <f t="shared" si="90"/>
        <v>1.6</v>
      </c>
      <c r="AR42" s="26">
        <f t="shared" si="90"/>
        <v>1.6</v>
      </c>
      <c r="AS42" s="26">
        <f t="shared" si="90"/>
        <v>1.6</v>
      </c>
      <c r="AT42" s="26">
        <f t="shared" si="90"/>
        <v>1.6</v>
      </c>
      <c r="AU42" s="26">
        <f t="shared" si="90"/>
        <v>1.6</v>
      </c>
      <c r="AV42" s="26">
        <f t="shared" si="90"/>
        <v>1.6</v>
      </c>
      <c r="AW42" s="26">
        <f t="shared" si="90"/>
        <v>1.6</v>
      </c>
      <c r="AX42" s="26">
        <f t="shared" si="90"/>
        <v>1.6</v>
      </c>
      <c r="AZ42" s="23">
        <f>($G$42/12)*O42</f>
        <v>6500</v>
      </c>
      <c r="BA42" s="23">
        <f aca="true" t="shared" si="91" ref="BA42:BK42">($G$42/12)*P42</f>
        <v>6500</v>
      </c>
      <c r="BB42" s="23">
        <f t="shared" si="91"/>
        <v>6500</v>
      </c>
      <c r="BC42" s="23">
        <f t="shared" si="91"/>
        <v>6500</v>
      </c>
      <c r="BD42" s="23">
        <f t="shared" si="91"/>
        <v>6500</v>
      </c>
      <c r="BE42" s="23">
        <f t="shared" si="91"/>
        <v>6500</v>
      </c>
      <c r="BF42" s="23">
        <f t="shared" si="91"/>
        <v>6500</v>
      </c>
      <c r="BG42" s="23">
        <f t="shared" si="91"/>
        <v>6500</v>
      </c>
      <c r="BH42" s="23">
        <f t="shared" si="91"/>
        <v>6500</v>
      </c>
      <c r="BI42" s="23">
        <f t="shared" si="91"/>
        <v>6500</v>
      </c>
      <c r="BJ42" s="23">
        <f t="shared" si="91"/>
        <v>6500</v>
      </c>
      <c r="BK42" s="23">
        <f t="shared" si="91"/>
        <v>6500</v>
      </c>
      <c r="BL42" s="23">
        <f>($H$42/12)*AA42</f>
        <v>8703.5</v>
      </c>
      <c r="BM42" s="23">
        <f aca="true" t="shared" si="92" ref="BM42:BW42">($H$42/12)*AB42</f>
        <v>8703.5</v>
      </c>
      <c r="BN42" s="23">
        <f t="shared" si="92"/>
        <v>8703.5</v>
      </c>
      <c r="BO42" s="23">
        <f t="shared" si="92"/>
        <v>8703.5</v>
      </c>
      <c r="BP42" s="23">
        <f t="shared" si="92"/>
        <v>8703.5</v>
      </c>
      <c r="BQ42" s="23">
        <f t="shared" si="92"/>
        <v>8703.5</v>
      </c>
      <c r="BR42" s="23">
        <f t="shared" si="92"/>
        <v>8703.5</v>
      </c>
      <c r="BS42" s="23">
        <f t="shared" si="92"/>
        <v>8703.5</v>
      </c>
      <c r="BT42" s="23">
        <f t="shared" si="92"/>
        <v>8703.5</v>
      </c>
      <c r="BU42" s="23">
        <f t="shared" si="92"/>
        <v>8703.5</v>
      </c>
      <c r="BV42" s="23">
        <f t="shared" si="92"/>
        <v>8703.5</v>
      </c>
      <c r="BW42" s="23">
        <f t="shared" si="92"/>
        <v>8703.5</v>
      </c>
      <c r="BX42" s="23">
        <f>($I$42/12)*AM42</f>
        <v>11033.36</v>
      </c>
      <c r="BY42" s="23">
        <f aca="true" t="shared" si="93" ref="BY42:CI42">($I$42/12)*AN42</f>
        <v>11033.36</v>
      </c>
      <c r="BZ42" s="23">
        <f t="shared" si="93"/>
        <v>11033.36</v>
      </c>
      <c r="CA42" s="23">
        <f t="shared" si="93"/>
        <v>11033.36</v>
      </c>
      <c r="CB42" s="23">
        <f t="shared" si="93"/>
        <v>11033.36</v>
      </c>
      <c r="CC42" s="23">
        <f t="shared" si="93"/>
        <v>11033.36</v>
      </c>
      <c r="CD42" s="23">
        <f t="shared" si="93"/>
        <v>11033.36</v>
      </c>
      <c r="CE42" s="23">
        <f t="shared" si="93"/>
        <v>11033.36</v>
      </c>
      <c r="CF42" s="23">
        <f t="shared" si="93"/>
        <v>11033.36</v>
      </c>
      <c r="CG42" s="23">
        <f t="shared" si="93"/>
        <v>11033.36</v>
      </c>
      <c r="CH42" s="23">
        <f t="shared" si="93"/>
        <v>11033.36</v>
      </c>
      <c r="CI42" s="112">
        <f t="shared" si="93"/>
        <v>11033.36</v>
      </c>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row>
    <row r="43" spans="1:114" s="26" customFormat="1" ht="12.75" customHeight="1">
      <c r="A43" s="45" t="s">
        <v>140</v>
      </c>
      <c r="B43" s="211">
        <f>B125</f>
        <v>0</v>
      </c>
      <c r="C43" s="45">
        <f>C125</f>
        <v>0.3</v>
      </c>
      <c r="D43" s="45">
        <f>D125</f>
        <v>0.6</v>
      </c>
      <c r="E43" s="246"/>
      <c r="F43" s="212">
        <f>F125</f>
        <v>78000</v>
      </c>
      <c r="G43" s="23">
        <f>F43</f>
        <v>78000</v>
      </c>
      <c r="H43" s="23">
        <f>G43*(1+C5)</f>
        <v>80340</v>
      </c>
      <c r="I43" s="23">
        <f>H43*(1+D5)</f>
        <v>82750.2</v>
      </c>
      <c r="J43" s="246"/>
      <c r="K43" s="158">
        <f>SUM(AZ43:BK43)</f>
        <v>0</v>
      </c>
      <c r="L43" s="153">
        <f>SUM(BL43:BW43)</f>
        <v>24102</v>
      </c>
      <c r="M43" s="153">
        <f>SUM(BX43:CI43)</f>
        <v>49650.12</v>
      </c>
      <c r="N43" s="246"/>
      <c r="O43" s="26">
        <f>$B$43</f>
        <v>0</v>
      </c>
      <c r="P43" s="26">
        <f aca="true" t="shared" si="94" ref="P43:Z43">$B$43</f>
        <v>0</v>
      </c>
      <c r="Q43" s="26">
        <f t="shared" si="94"/>
        <v>0</v>
      </c>
      <c r="R43" s="26">
        <f t="shared" si="94"/>
        <v>0</v>
      </c>
      <c r="S43" s="26">
        <f t="shared" si="94"/>
        <v>0</v>
      </c>
      <c r="T43" s="26">
        <f t="shared" si="94"/>
        <v>0</v>
      </c>
      <c r="U43" s="26">
        <f t="shared" si="94"/>
        <v>0</v>
      </c>
      <c r="V43" s="26">
        <f t="shared" si="94"/>
        <v>0</v>
      </c>
      <c r="W43" s="26">
        <f t="shared" si="94"/>
        <v>0</v>
      </c>
      <c r="X43" s="26">
        <f t="shared" si="94"/>
        <v>0</v>
      </c>
      <c r="Y43" s="26">
        <f t="shared" si="94"/>
        <v>0</v>
      </c>
      <c r="Z43" s="26">
        <f t="shared" si="94"/>
        <v>0</v>
      </c>
      <c r="AA43" s="26">
        <f>$C$43</f>
        <v>0.3</v>
      </c>
      <c r="AB43" s="26">
        <f aca="true" t="shared" si="95" ref="AB43:AL43">$C$43</f>
        <v>0.3</v>
      </c>
      <c r="AC43" s="26">
        <f t="shared" si="95"/>
        <v>0.3</v>
      </c>
      <c r="AD43" s="26">
        <f t="shared" si="95"/>
        <v>0.3</v>
      </c>
      <c r="AE43" s="26">
        <f t="shared" si="95"/>
        <v>0.3</v>
      </c>
      <c r="AF43" s="26">
        <f t="shared" si="95"/>
        <v>0.3</v>
      </c>
      <c r="AG43" s="26">
        <f t="shared" si="95"/>
        <v>0.3</v>
      </c>
      <c r="AH43" s="26">
        <f t="shared" si="95"/>
        <v>0.3</v>
      </c>
      <c r="AI43" s="26">
        <f t="shared" si="95"/>
        <v>0.3</v>
      </c>
      <c r="AJ43" s="26">
        <f t="shared" si="95"/>
        <v>0.3</v>
      </c>
      <c r="AK43" s="26">
        <f t="shared" si="95"/>
        <v>0.3</v>
      </c>
      <c r="AL43" s="26">
        <f t="shared" si="95"/>
        <v>0.3</v>
      </c>
      <c r="AM43" s="26">
        <f>$D$43</f>
        <v>0.6</v>
      </c>
      <c r="AN43" s="26">
        <f aca="true" t="shared" si="96" ref="AN43:AX43">$D$43</f>
        <v>0.6</v>
      </c>
      <c r="AO43" s="26">
        <f t="shared" si="96"/>
        <v>0.6</v>
      </c>
      <c r="AP43" s="26">
        <f t="shared" si="96"/>
        <v>0.6</v>
      </c>
      <c r="AQ43" s="26">
        <f t="shared" si="96"/>
        <v>0.6</v>
      </c>
      <c r="AR43" s="26">
        <f t="shared" si="96"/>
        <v>0.6</v>
      </c>
      <c r="AS43" s="26">
        <f t="shared" si="96"/>
        <v>0.6</v>
      </c>
      <c r="AT43" s="26">
        <f t="shared" si="96"/>
        <v>0.6</v>
      </c>
      <c r="AU43" s="26">
        <f t="shared" si="96"/>
        <v>0.6</v>
      </c>
      <c r="AV43" s="26">
        <f t="shared" si="96"/>
        <v>0.6</v>
      </c>
      <c r="AW43" s="26">
        <f t="shared" si="96"/>
        <v>0.6</v>
      </c>
      <c r="AX43" s="26">
        <f t="shared" si="96"/>
        <v>0.6</v>
      </c>
      <c r="AZ43" s="23">
        <f>($G$43/12)*O43</f>
        <v>0</v>
      </c>
      <c r="BA43" s="23">
        <f aca="true" t="shared" si="97" ref="BA43:BK43">($G$43/12)*P43</f>
        <v>0</v>
      </c>
      <c r="BB43" s="23">
        <f t="shared" si="97"/>
        <v>0</v>
      </c>
      <c r="BC43" s="23">
        <f t="shared" si="97"/>
        <v>0</v>
      </c>
      <c r="BD43" s="23">
        <f t="shared" si="97"/>
        <v>0</v>
      </c>
      <c r="BE43" s="23">
        <f t="shared" si="97"/>
        <v>0</v>
      </c>
      <c r="BF43" s="23">
        <f t="shared" si="97"/>
        <v>0</v>
      </c>
      <c r="BG43" s="23">
        <f t="shared" si="97"/>
        <v>0</v>
      </c>
      <c r="BH43" s="23">
        <f t="shared" si="97"/>
        <v>0</v>
      </c>
      <c r="BI43" s="23">
        <f t="shared" si="97"/>
        <v>0</v>
      </c>
      <c r="BJ43" s="23">
        <f t="shared" si="97"/>
        <v>0</v>
      </c>
      <c r="BK43" s="23">
        <f t="shared" si="97"/>
        <v>0</v>
      </c>
      <c r="BL43" s="23">
        <f>($H$43/12)*AA43</f>
        <v>2008.5</v>
      </c>
      <c r="BM43" s="23">
        <f aca="true" t="shared" si="98" ref="BM43:BW43">($H$43/12)*AB43</f>
        <v>2008.5</v>
      </c>
      <c r="BN43" s="23">
        <f t="shared" si="98"/>
        <v>2008.5</v>
      </c>
      <c r="BO43" s="23">
        <f t="shared" si="98"/>
        <v>2008.5</v>
      </c>
      <c r="BP43" s="23">
        <f t="shared" si="98"/>
        <v>2008.5</v>
      </c>
      <c r="BQ43" s="23">
        <f t="shared" si="98"/>
        <v>2008.5</v>
      </c>
      <c r="BR43" s="23">
        <f t="shared" si="98"/>
        <v>2008.5</v>
      </c>
      <c r="BS43" s="23">
        <f t="shared" si="98"/>
        <v>2008.5</v>
      </c>
      <c r="BT43" s="23">
        <f t="shared" si="98"/>
        <v>2008.5</v>
      </c>
      <c r="BU43" s="23">
        <f t="shared" si="98"/>
        <v>2008.5</v>
      </c>
      <c r="BV43" s="23">
        <f t="shared" si="98"/>
        <v>2008.5</v>
      </c>
      <c r="BW43" s="23">
        <f t="shared" si="98"/>
        <v>2008.5</v>
      </c>
      <c r="BX43" s="23">
        <f>($I$43/12)*AM43</f>
        <v>4137.509999999999</v>
      </c>
      <c r="BY43" s="23">
        <f aca="true" t="shared" si="99" ref="BY43:CI43">($I$43/12)*AN43</f>
        <v>4137.509999999999</v>
      </c>
      <c r="BZ43" s="23">
        <f t="shared" si="99"/>
        <v>4137.509999999999</v>
      </c>
      <c r="CA43" s="23">
        <f t="shared" si="99"/>
        <v>4137.509999999999</v>
      </c>
      <c r="CB43" s="23">
        <f t="shared" si="99"/>
        <v>4137.509999999999</v>
      </c>
      <c r="CC43" s="23">
        <f t="shared" si="99"/>
        <v>4137.509999999999</v>
      </c>
      <c r="CD43" s="23">
        <f t="shared" si="99"/>
        <v>4137.509999999999</v>
      </c>
      <c r="CE43" s="23">
        <f t="shared" si="99"/>
        <v>4137.509999999999</v>
      </c>
      <c r="CF43" s="23">
        <f t="shared" si="99"/>
        <v>4137.509999999999</v>
      </c>
      <c r="CG43" s="23">
        <f t="shared" si="99"/>
        <v>4137.509999999999</v>
      </c>
      <c r="CH43" s="23">
        <f t="shared" si="99"/>
        <v>4137.509999999999</v>
      </c>
      <c r="CI43" s="112">
        <f t="shared" si="99"/>
        <v>4137.509999999999</v>
      </c>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row>
    <row r="44" spans="1:114" s="52" customFormat="1" ht="12.75" customHeight="1">
      <c r="A44" s="216" t="s">
        <v>141</v>
      </c>
      <c r="B44" s="33">
        <f>B83+B123+B152</f>
        <v>2.5</v>
      </c>
      <c r="C44" s="34">
        <f>C83+C123+C152</f>
        <v>3.5</v>
      </c>
      <c r="D44" s="34">
        <f>D83+D123+D152</f>
        <v>5.5</v>
      </c>
      <c r="E44" s="248"/>
      <c r="F44" s="213">
        <f>F83</f>
        <v>78000</v>
      </c>
      <c r="G44" s="116">
        <f>F44</f>
        <v>78000</v>
      </c>
      <c r="H44" s="116">
        <f>G44*(1+C5)</f>
        <v>80340</v>
      </c>
      <c r="I44" s="116">
        <f>H44*(1+D5)</f>
        <v>82750.2</v>
      </c>
      <c r="J44" s="248"/>
      <c r="K44" s="214">
        <f>SUM(AZ44:BK44)</f>
        <v>195000</v>
      </c>
      <c r="L44" s="215">
        <f>SUM(BL44:BW44)</f>
        <v>281190</v>
      </c>
      <c r="M44" s="215">
        <f>SUM(BX44:CI44)</f>
        <v>455126.0999999999</v>
      </c>
      <c r="N44" s="248"/>
      <c r="O44" s="52">
        <f>$B$44</f>
        <v>2.5</v>
      </c>
      <c r="P44" s="52">
        <f aca="true" t="shared" si="100" ref="P44:Z44">$B$44</f>
        <v>2.5</v>
      </c>
      <c r="Q44" s="52">
        <f t="shared" si="100"/>
        <v>2.5</v>
      </c>
      <c r="R44" s="52">
        <f t="shared" si="100"/>
        <v>2.5</v>
      </c>
      <c r="S44" s="52">
        <f t="shared" si="100"/>
        <v>2.5</v>
      </c>
      <c r="T44" s="52">
        <f t="shared" si="100"/>
        <v>2.5</v>
      </c>
      <c r="U44" s="52">
        <f t="shared" si="100"/>
        <v>2.5</v>
      </c>
      <c r="V44" s="52">
        <f t="shared" si="100"/>
        <v>2.5</v>
      </c>
      <c r="W44" s="52">
        <f t="shared" si="100"/>
        <v>2.5</v>
      </c>
      <c r="X44" s="52">
        <f t="shared" si="100"/>
        <v>2.5</v>
      </c>
      <c r="Y44" s="52">
        <f t="shared" si="100"/>
        <v>2.5</v>
      </c>
      <c r="Z44" s="52">
        <f t="shared" si="100"/>
        <v>2.5</v>
      </c>
      <c r="AA44" s="52">
        <f>$C$44</f>
        <v>3.5</v>
      </c>
      <c r="AB44" s="52">
        <f aca="true" t="shared" si="101" ref="AB44:AL44">$C$44</f>
        <v>3.5</v>
      </c>
      <c r="AC44" s="52">
        <f t="shared" si="101"/>
        <v>3.5</v>
      </c>
      <c r="AD44" s="52">
        <f t="shared" si="101"/>
        <v>3.5</v>
      </c>
      <c r="AE44" s="52">
        <f t="shared" si="101"/>
        <v>3.5</v>
      </c>
      <c r="AF44" s="52">
        <f t="shared" si="101"/>
        <v>3.5</v>
      </c>
      <c r="AG44" s="52">
        <f t="shared" si="101"/>
        <v>3.5</v>
      </c>
      <c r="AH44" s="52">
        <f t="shared" si="101"/>
        <v>3.5</v>
      </c>
      <c r="AI44" s="52">
        <f t="shared" si="101"/>
        <v>3.5</v>
      </c>
      <c r="AJ44" s="52">
        <f t="shared" si="101"/>
        <v>3.5</v>
      </c>
      <c r="AK44" s="52">
        <f t="shared" si="101"/>
        <v>3.5</v>
      </c>
      <c r="AL44" s="52">
        <f t="shared" si="101"/>
        <v>3.5</v>
      </c>
      <c r="AM44" s="52">
        <f>$D$44</f>
        <v>5.5</v>
      </c>
      <c r="AN44" s="52">
        <f aca="true" t="shared" si="102" ref="AN44:AX44">$D$44</f>
        <v>5.5</v>
      </c>
      <c r="AO44" s="52">
        <f t="shared" si="102"/>
        <v>5.5</v>
      </c>
      <c r="AP44" s="52">
        <f t="shared" si="102"/>
        <v>5.5</v>
      </c>
      <c r="AQ44" s="52">
        <f t="shared" si="102"/>
        <v>5.5</v>
      </c>
      <c r="AR44" s="52">
        <f t="shared" si="102"/>
        <v>5.5</v>
      </c>
      <c r="AS44" s="52">
        <f t="shared" si="102"/>
        <v>5.5</v>
      </c>
      <c r="AT44" s="52">
        <f t="shared" si="102"/>
        <v>5.5</v>
      </c>
      <c r="AU44" s="52">
        <f t="shared" si="102"/>
        <v>5.5</v>
      </c>
      <c r="AV44" s="52">
        <f t="shared" si="102"/>
        <v>5.5</v>
      </c>
      <c r="AW44" s="52">
        <f t="shared" si="102"/>
        <v>5.5</v>
      </c>
      <c r="AX44" s="52">
        <f t="shared" si="102"/>
        <v>5.5</v>
      </c>
      <c r="AZ44" s="116">
        <f>($G$44/12)*O44</f>
        <v>16250</v>
      </c>
      <c r="BA44" s="116">
        <f aca="true" t="shared" si="103" ref="BA44:BK44">($G$44/12)*P44</f>
        <v>16250</v>
      </c>
      <c r="BB44" s="116">
        <f t="shared" si="103"/>
        <v>16250</v>
      </c>
      <c r="BC44" s="116">
        <f t="shared" si="103"/>
        <v>16250</v>
      </c>
      <c r="BD44" s="116">
        <f t="shared" si="103"/>
        <v>16250</v>
      </c>
      <c r="BE44" s="116">
        <f t="shared" si="103"/>
        <v>16250</v>
      </c>
      <c r="BF44" s="116">
        <f t="shared" si="103"/>
        <v>16250</v>
      </c>
      <c r="BG44" s="116">
        <f t="shared" si="103"/>
        <v>16250</v>
      </c>
      <c r="BH44" s="116">
        <f t="shared" si="103"/>
        <v>16250</v>
      </c>
      <c r="BI44" s="116">
        <f t="shared" si="103"/>
        <v>16250</v>
      </c>
      <c r="BJ44" s="116">
        <f t="shared" si="103"/>
        <v>16250</v>
      </c>
      <c r="BK44" s="116">
        <f t="shared" si="103"/>
        <v>16250</v>
      </c>
      <c r="BL44" s="116">
        <f>($H$44/12)*AA44</f>
        <v>23432.5</v>
      </c>
      <c r="BM44" s="116">
        <f aca="true" t="shared" si="104" ref="BM44:BW44">($H$44/12)*AB44</f>
        <v>23432.5</v>
      </c>
      <c r="BN44" s="116">
        <f t="shared" si="104"/>
        <v>23432.5</v>
      </c>
      <c r="BO44" s="116">
        <f t="shared" si="104"/>
        <v>23432.5</v>
      </c>
      <c r="BP44" s="116">
        <f t="shared" si="104"/>
        <v>23432.5</v>
      </c>
      <c r="BQ44" s="116">
        <f t="shared" si="104"/>
        <v>23432.5</v>
      </c>
      <c r="BR44" s="116">
        <f t="shared" si="104"/>
        <v>23432.5</v>
      </c>
      <c r="BS44" s="116">
        <f t="shared" si="104"/>
        <v>23432.5</v>
      </c>
      <c r="BT44" s="116">
        <f t="shared" si="104"/>
        <v>23432.5</v>
      </c>
      <c r="BU44" s="116">
        <f t="shared" si="104"/>
        <v>23432.5</v>
      </c>
      <c r="BV44" s="116">
        <f t="shared" si="104"/>
        <v>23432.5</v>
      </c>
      <c r="BW44" s="116">
        <f t="shared" si="104"/>
        <v>23432.5</v>
      </c>
      <c r="BX44" s="116">
        <f>($I$44/12)*AM44</f>
        <v>37927.174999999996</v>
      </c>
      <c r="BY44" s="116">
        <f aca="true" t="shared" si="105" ref="BY44:CI44">($I$44/12)*AN44</f>
        <v>37927.174999999996</v>
      </c>
      <c r="BZ44" s="116">
        <f t="shared" si="105"/>
        <v>37927.174999999996</v>
      </c>
      <c r="CA44" s="116">
        <f t="shared" si="105"/>
        <v>37927.174999999996</v>
      </c>
      <c r="CB44" s="116">
        <f t="shared" si="105"/>
        <v>37927.174999999996</v>
      </c>
      <c r="CC44" s="116">
        <f t="shared" si="105"/>
        <v>37927.174999999996</v>
      </c>
      <c r="CD44" s="116">
        <f t="shared" si="105"/>
        <v>37927.174999999996</v>
      </c>
      <c r="CE44" s="116">
        <f t="shared" si="105"/>
        <v>37927.174999999996</v>
      </c>
      <c r="CF44" s="116">
        <f t="shared" si="105"/>
        <v>37927.174999999996</v>
      </c>
      <c r="CG44" s="116">
        <f t="shared" si="105"/>
        <v>37927.174999999996</v>
      </c>
      <c r="CH44" s="116">
        <f t="shared" si="105"/>
        <v>37927.174999999996</v>
      </c>
      <c r="CI44" s="119">
        <f t="shared" si="105"/>
        <v>37927.174999999996</v>
      </c>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row>
    <row r="45" spans="1:114" s="52" customFormat="1" ht="12.75" customHeight="1">
      <c r="A45" s="52" t="s">
        <v>195</v>
      </c>
      <c r="B45" s="33">
        <f>SUM(B42:B44)</f>
        <v>3.5</v>
      </c>
      <c r="C45" s="34">
        <f>SUM(C42:C44)</f>
        <v>5.1</v>
      </c>
      <c r="D45" s="34">
        <f>SUM(D42:D44)</f>
        <v>7.7</v>
      </c>
      <c r="E45" s="248"/>
      <c r="F45" s="213"/>
      <c r="G45" s="116"/>
      <c r="H45" s="116"/>
      <c r="I45" s="116"/>
      <c r="J45" s="248"/>
      <c r="K45" s="214">
        <f>SUM(K42:K44)</f>
        <v>273000</v>
      </c>
      <c r="L45" s="215">
        <f>SUM(L42:L44)</f>
        <v>409734</v>
      </c>
      <c r="M45" s="215">
        <f>SUM(M42:M44)</f>
        <v>637176.5399999999</v>
      </c>
      <c r="N45" s="248"/>
      <c r="O45" s="52">
        <f aca="true" t="shared" si="106" ref="O45:AW45">SUM(O42:O44)</f>
        <v>3.5</v>
      </c>
      <c r="P45" s="52">
        <f t="shared" si="106"/>
        <v>3.5</v>
      </c>
      <c r="Q45" s="52">
        <f t="shared" si="106"/>
        <v>3.5</v>
      </c>
      <c r="R45" s="52">
        <f t="shared" si="106"/>
        <v>3.5</v>
      </c>
      <c r="S45" s="52">
        <f t="shared" si="106"/>
        <v>3.5</v>
      </c>
      <c r="T45" s="52">
        <f t="shared" si="106"/>
        <v>3.5</v>
      </c>
      <c r="U45" s="52">
        <f t="shared" si="106"/>
        <v>3.5</v>
      </c>
      <c r="V45" s="52">
        <f t="shared" si="106"/>
        <v>3.5</v>
      </c>
      <c r="W45" s="52">
        <f t="shared" si="106"/>
        <v>3.5</v>
      </c>
      <c r="X45" s="52">
        <f t="shared" si="106"/>
        <v>3.5</v>
      </c>
      <c r="Y45" s="52">
        <f t="shared" si="106"/>
        <v>3.5</v>
      </c>
      <c r="Z45" s="52">
        <f t="shared" si="106"/>
        <v>3.5</v>
      </c>
      <c r="AA45" s="52">
        <f t="shared" si="106"/>
        <v>5.1</v>
      </c>
      <c r="AB45" s="52">
        <f t="shared" si="106"/>
        <v>5.1</v>
      </c>
      <c r="AC45" s="52">
        <f t="shared" si="106"/>
        <v>5.1</v>
      </c>
      <c r="AD45" s="52">
        <f t="shared" si="106"/>
        <v>5.1</v>
      </c>
      <c r="AE45" s="52">
        <f t="shared" si="106"/>
        <v>5.1</v>
      </c>
      <c r="AF45" s="52">
        <f t="shared" si="106"/>
        <v>5.1</v>
      </c>
      <c r="AG45" s="52">
        <f t="shared" si="106"/>
        <v>5.1</v>
      </c>
      <c r="AH45" s="52">
        <f t="shared" si="106"/>
        <v>5.1</v>
      </c>
      <c r="AI45" s="52">
        <f t="shared" si="106"/>
        <v>5.1</v>
      </c>
      <c r="AJ45" s="52">
        <f t="shared" si="106"/>
        <v>5.1</v>
      </c>
      <c r="AK45" s="52">
        <f t="shared" si="106"/>
        <v>5.1</v>
      </c>
      <c r="AL45" s="52">
        <f t="shared" si="106"/>
        <v>5.1</v>
      </c>
      <c r="AM45" s="52">
        <f t="shared" si="106"/>
        <v>7.7</v>
      </c>
      <c r="AN45" s="52">
        <f t="shared" si="106"/>
        <v>7.7</v>
      </c>
      <c r="AO45" s="52">
        <f t="shared" si="106"/>
        <v>7.7</v>
      </c>
      <c r="AP45" s="52">
        <f t="shared" si="106"/>
        <v>7.7</v>
      </c>
      <c r="AQ45" s="52">
        <f t="shared" si="106"/>
        <v>7.7</v>
      </c>
      <c r="AR45" s="52">
        <f t="shared" si="106"/>
        <v>7.7</v>
      </c>
      <c r="AS45" s="52">
        <f t="shared" si="106"/>
        <v>7.7</v>
      </c>
      <c r="AT45" s="52">
        <f t="shared" si="106"/>
        <v>7.7</v>
      </c>
      <c r="AU45" s="52">
        <f t="shared" si="106"/>
        <v>7.7</v>
      </c>
      <c r="AV45" s="52">
        <f t="shared" si="106"/>
        <v>7.7</v>
      </c>
      <c r="AW45" s="52">
        <f t="shared" si="106"/>
        <v>7.7</v>
      </c>
      <c r="AX45" s="52">
        <f>SUM(AX42:AX44)</f>
        <v>7.7</v>
      </c>
      <c r="AZ45" s="116">
        <f aca="true" t="shared" si="107" ref="AZ45:CH45">SUM(AZ42:AZ44)</f>
        <v>22750</v>
      </c>
      <c r="BA45" s="116">
        <f t="shared" si="107"/>
        <v>22750</v>
      </c>
      <c r="BB45" s="116">
        <f t="shared" si="107"/>
        <v>22750</v>
      </c>
      <c r="BC45" s="116">
        <f t="shared" si="107"/>
        <v>22750</v>
      </c>
      <c r="BD45" s="116">
        <f t="shared" si="107"/>
        <v>22750</v>
      </c>
      <c r="BE45" s="116">
        <f t="shared" si="107"/>
        <v>22750</v>
      </c>
      <c r="BF45" s="116">
        <f t="shared" si="107"/>
        <v>22750</v>
      </c>
      <c r="BG45" s="116">
        <f t="shared" si="107"/>
        <v>22750</v>
      </c>
      <c r="BH45" s="116">
        <f t="shared" si="107"/>
        <v>22750</v>
      </c>
      <c r="BI45" s="116">
        <f t="shared" si="107"/>
        <v>22750</v>
      </c>
      <c r="BJ45" s="116">
        <f t="shared" si="107"/>
        <v>22750</v>
      </c>
      <c r="BK45" s="116">
        <f t="shared" si="107"/>
        <v>22750</v>
      </c>
      <c r="BL45" s="116">
        <f t="shared" si="107"/>
        <v>34144.5</v>
      </c>
      <c r="BM45" s="116">
        <f t="shared" si="107"/>
        <v>34144.5</v>
      </c>
      <c r="BN45" s="116">
        <f t="shared" si="107"/>
        <v>34144.5</v>
      </c>
      <c r="BO45" s="116">
        <f t="shared" si="107"/>
        <v>34144.5</v>
      </c>
      <c r="BP45" s="116">
        <f t="shared" si="107"/>
        <v>34144.5</v>
      </c>
      <c r="BQ45" s="116">
        <f t="shared" si="107"/>
        <v>34144.5</v>
      </c>
      <c r="BR45" s="116">
        <f t="shared" si="107"/>
        <v>34144.5</v>
      </c>
      <c r="BS45" s="116">
        <f t="shared" si="107"/>
        <v>34144.5</v>
      </c>
      <c r="BT45" s="116">
        <f t="shared" si="107"/>
        <v>34144.5</v>
      </c>
      <c r="BU45" s="116">
        <f t="shared" si="107"/>
        <v>34144.5</v>
      </c>
      <c r="BV45" s="116">
        <f t="shared" si="107"/>
        <v>34144.5</v>
      </c>
      <c r="BW45" s="116">
        <f t="shared" si="107"/>
        <v>34144.5</v>
      </c>
      <c r="BX45" s="116">
        <f t="shared" si="107"/>
        <v>53098.045</v>
      </c>
      <c r="BY45" s="116">
        <f t="shared" si="107"/>
        <v>53098.045</v>
      </c>
      <c r="BZ45" s="116">
        <f t="shared" si="107"/>
        <v>53098.045</v>
      </c>
      <c r="CA45" s="116">
        <f t="shared" si="107"/>
        <v>53098.045</v>
      </c>
      <c r="CB45" s="116">
        <f t="shared" si="107"/>
        <v>53098.045</v>
      </c>
      <c r="CC45" s="116">
        <f t="shared" si="107"/>
        <v>53098.045</v>
      </c>
      <c r="CD45" s="116">
        <f t="shared" si="107"/>
        <v>53098.045</v>
      </c>
      <c r="CE45" s="116">
        <f t="shared" si="107"/>
        <v>53098.045</v>
      </c>
      <c r="CF45" s="116">
        <f t="shared" si="107"/>
        <v>53098.045</v>
      </c>
      <c r="CG45" s="116">
        <f t="shared" si="107"/>
        <v>53098.045</v>
      </c>
      <c r="CH45" s="116">
        <f t="shared" si="107"/>
        <v>53098.045</v>
      </c>
      <c r="CI45" s="119">
        <f>SUM(CI42:CI44)</f>
        <v>53098.045</v>
      </c>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row>
    <row r="46" spans="1:114" s="26" customFormat="1" ht="12.75" customHeight="1">
      <c r="A46" s="45" t="s">
        <v>407</v>
      </c>
      <c r="B46" s="32"/>
      <c r="E46" s="246"/>
      <c r="F46" s="111"/>
      <c r="G46" s="23"/>
      <c r="H46" s="23"/>
      <c r="I46" s="23"/>
      <c r="J46" s="246"/>
      <c r="K46" s="158">
        <f>K45*$B$6</f>
        <v>68250</v>
      </c>
      <c r="L46" s="153">
        <f>L45*$C$6</f>
        <v>102433.5</v>
      </c>
      <c r="M46" s="153">
        <f>M45*$D$6</f>
        <v>159294.13499999998</v>
      </c>
      <c r="N46" s="246"/>
      <c r="AZ46" s="23">
        <f aca="true" t="shared" si="108" ref="AZ46:BK46">AZ45*$B$6</f>
        <v>5687.5</v>
      </c>
      <c r="BA46" s="23">
        <f t="shared" si="108"/>
        <v>5687.5</v>
      </c>
      <c r="BB46" s="23">
        <f t="shared" si="108"/>
        <v>5687.5</v>
      </c>
      <c r="BC46" s="23">
        <f t="shared" si="108"/>
        <v>5687.5</v>
      </c>
      <c r="BD46" s="23">
        <f t="shared" si="108"/>
        <v>5687.5</v>
      </c>
      <c r="BE46" s="23">
        <f t="shared" si="108"/>
        <v>5687.5</v>
      </c>
      <c r="BF46" s="23">
        <f t="shared" si="108"/>
        <v>5687.5</v>
      </c>
      <c r="BG46" s="23">
        <f t="shared" si="108"/>
        <v>5687.5</v>
      </c>
      <c r="BH46" s="23">
        <f t="shared" si="108"/>
        <v>5687.5</v>
      </c>
      <c r="BI46" s="23">
        <f t="shared" si="108"/>
        <v>5687.5</v>
      </c>
      <c r="BJ46" s="23">
        <f t="shared" si="108"/>
        <v>5687.5</v>
      </c>
      <c r="BK46" s="23">
        <f t="shared" si="108"/>
        <v>5687.5</v>
      </c>
      <c r="BL46" s="23">
        <f aca="true" t="shared" si="109" ref="BL46:BW46">BL45*$C$6</f>
        <v>8536.125</v>
      </c>
      <c r="BM46" s="23">
        <f t="shared" si="109"/>
        <v>8536.125</v>
      </c>
      <c r="BN46" s="23">
        <f t="shared" si="109"/>
        <v>8536.125</v>
      </c>
      <c r="BO46" s="23">
        <f t="shared" si="109"/>
        <v>8536.125</v>
      </c>
      <c r="BP46" s="23">
        <f t="shared" si="109"/>
        <v>8536.125</v>
      </c>
      <c r="BQ46" s="23">
        <f t="shared" si="109"/>
        <v>8536.125</v>
      </c>
      <c r="BR46" s="23">
        <f t="shared" si="109"/>
        <v>8536.125</v>
      </c>
      <c r="BS46" s="23">
        <f t="shared" si="109"/>
        <v>8536.125</v>
      </c>
      <c r="BT46" s="23">
        <f t="shared" si="109"/>
        <v>8536.125</v>
      </c>
      <c r="BU46" s="23">
        <f t="shared" si="109"/>
        <v>8536.125</v>
      </c>
      <c r="BV46" s="23">
        <f t="shared" si="109"/>
        <v>8536.125</v>
      </c>
      <c r="BW46" s="23">
        <f t="shared" si="109"/>
        <v>8536.125</v>
      </c>
      <c r="BX46" s="23">
        <f aca="true" t="shared" si="110" ref="BX46:CI46">BX45*$D$6</f>
        <v>13274.51125</v>
      </c>
      <c r="BY46" s="23">
        <f t="shared" si="110"/>
        <v>13274.51125</v>
      </c>
      <c r="BZ46" s="23">
        <f t="shared" si="110"/>
        <v>13274.51125</v>
      </c>
      <c r="CA46" s="23">
        <f t="shared" si="110"/>
        <v>13274.51125</v>
      </c>
      <c r="CB46" s="23">
        <f t="shared" si="110"/>
        <v>13274.51125</v>
      </c>
      <c r="CC46" s="23">
        <f t="shared" si="110"/>
        <v>13274.51125</v>
      </c>
      <c r="CD46" s="23">
        <f t="shared" si="110"/>
        <v>13274.51125</v>
      </c>
      <c r="CE46" s="23">
        <f t="shared" si="110"/>
        <v>13274.51125</v>
      </c>
      <c r="CF46" s="23">
        <f t="shared" si="110"/>
        <v>13274.51125</v>
      </c>
      <c r="CG46" s="23">
        <f t="shared" si="110"/>
        <v>13274.51125</v>
      </c>
      <c r="CH46" s="23">
        <f t="shared" si="110"/>
        <v>13274.51125</v>
      </c>
      <c r="CI46" s="112">
        <f t="shared" si="110"/>
        <v>13274.51125</v>
      </c>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row>
    <row r="47" spans="1:114" s="26" customFormat="1" ht="12.75" customHeight="1" thickBot="1">
      <c r="A47" s="45" t="s">
        <v>252</v>
      </c>
      <c r="B47" s="32"/>
      <c r="E47" s="246"/>
      <c r="F47" s="111"/>
      <c r="G47" s="23"/>
      <c r="H47" s="23"/>
      <c r="I47" s="23"/>
      <c r="J47" s="246"/>
      <c r="K47" s="158">
        <f>K45+K46</f>
        <v>341250</v>
      </c>
      <c r="L47" s="153">
        <f>L45+L46</f>
        <v>512167.5</v>
      </c>
      <c r="M47" s="153">
        <f>M45+M46</f>
        <v>796470.6749999999</v>
      </c>
      <c r="N47" s="256"/>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26">
        <f aca="true" t="shared" si="111" ref="AZ47:CI47">AZ45+AZ46</f>
        <v>28437.5</v>
      </c>
      <c r="BA47" s="126">
        <f t="shared" si="111"/>
        <v>28437.5</v>
      </c>
      <c r="BB47" s="126">
        <f t="shared" si="111"/>
        <v>28437.5</v>
      </c>
      <c r="BC47" s="126">
        <f t="shared" si="111"/>
        <v>28437.5</v>
      </c>
      <c r="BD47" s="126">
        <f t="shared" si="111"/>
        <v>28437.5</v>
      </c>
      <c r="BE47" s="126">
        <f t="shared" si="111"/>
        <v>28437.5</v>
      </c>
      <c r="BF47" s="126">
        <f t="shared" si="111"/>
        <v>28437.5</v>
      </c>
      <c r="BG47" s="126">
        <f t="shared" si="111"/>
        <v>28437.5</v>
      </c>
      <c r="BH47" s="126">
        <f t="shared" si="111"/>
        <v>28437.5</v>
      </c>
      <c r="BI47" s="126">
        <f t="shared" si="111"/>
        <v>28437.5</v>
      </c>
      <c r="BJ47" s="126">
        <f t="shared" si="111"/>
        <v>28437.5</v>
      </c>
      <c r="BK47" s="126">
        <f t="shared" si="111"/>
        <v>28437.5</v>
      </c>
      <c r="BL47" s="126">
        <f t="shared" si="111"/>
        <v>42680.625</v>
      </c>
      <c r="BM47" s="126">
        <f t="shared" si="111"/>
        <v>42680.625</v>
      </c>
      <c r="BN47" s="126">
        <f t="shared" si="111"/>
        <v>42680.625</v>
      </c>
      <c r="BO47" s="126">
        <f t="shared" si="111"/>
        <v>42680.625</v>
      </c>
      <c r="BP47" s="126">
        <f t="shared" si="111"/>
        <v>42680.625</v>
      </c>
      <c r="BQ47" s="126">
        <f t="shared" si="111"/>
        <v>42680.625</v>
      </c>
      <c r="BR47" s="126">
        <f t="shared" si="111"/>
        <v>42680.625</v>
      </c>
      <c r="BS47" s="126">
        <f t="shared" si="111"/>
        <v>42680.625</v>
      </c>
      <c r="BT47" s="126">
        <f t="shared" si="111"/>
        <v>42680.625</v>
      </c>
      <c r="BU47" s="126">
        <f t="shared" si="111"/>
        <v>42680.625</v>
      </c>
      <c r="BV47" s="126">
        <f t="shared" si="111"/>
        <v>42680.625</v>
      </c>
      <c r="BW47" s="126">
        <f t="shared" si="111"/>
        <v>42680.625</v>
      </c>
      <c r="BX47" s="126">
        <f t="shared" si="111"/>
        <v>66372.55625</v>
      </c>
      <c r="BY47" s="126">
        <f t="shared" si="111"/>
        <v>66372.55625</v>
      </c>
      <c r="BZ47" s="126">
        <f t="shared" si="111"/>
        <v>66372.55625</v>
      </c>
      <c r="CA47" s="126">
        <f t="shared" si="111"/>
        <v>66372.55625</v>
      </c>
      <c r="CB47" s="126">
        <f t="shared" si="111"/>
        <v>66372.55625</v>
      </c>
      <c r="CC47" s="126">
        <f t="shared" si="111"/>
        <v>66372.55625</v>
      </c>
      <c r="CD47" s="126">
        <f t="shared" si="111"/>
        <v>66372.55625</v>
      </c>
      <c r="CE47" s="126">
        <f t="shared" si="111"/>
        <v>66372.55625</v>
      </c>
      <c r="CF47" s="126">
        <f t="shared" si="111"/>
        <v>66372.55625</v>
      </c>
      <c r="CG47" s="126">
        <f t="shared" si="111"/>
        <v>66372.55625</v>
      </c>
      <c r="CH47" s="126">
        <f t="shared" si="111"/>
        <v>66372.55625</v>
      </c>
      <c r="CI47" s="127">
        <f t="shared" si="111"/>
        <v>66372.55625</v>
      </c>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row>
    <row r="48" spans="1:87" ht="12.75" customHeight="1">
      <c r="A48" s="32" t="s">
        <v>481</v>
      </c>
      <c r="B48" s="208"/>
      <c r="C48" s="209"/>
      <c r="D48" s="209"/>
      <c r="E48" s="254"/>
      <c r="F48" s="259"/>
      <c r="G48" s="260"/>
      <c r="H48" s="260"/>
      <c r="I48" s="260"/>
      <c r="J48" s="254"/>
      <c r="K48" s="261"/>
      <c r="L48" s="262"/>
      <c r="M48" s="78"/>
      <c r="N48" s="246"/>
      <c r="AZ48" s="6">
        <f>SUM(AZ47,AZ39,AZ27,AZ19)</f>
        <v>54010.416666666664</v>
      </c>
      <c r="BA48" s="6">
        <f aca="true" t="shared" si="112" ref="BA48:CI48">SUM(BA47,BA39,BA27,BA19)</f>
        <v>85260.41666666666</v>
      </c>
      <c r="BB48" s="6">
        <f t="shared" si="112"/>
        <v>93072.91666666666</v>
      </c>
      <c r="BC48" s="6">
        <f t="shared" si="112"/>
        <v>159947.91666666666</v>
      </c>
      <c r="BD48" s="6">
        <f t="shared" si="112"/>
        <v>183385.41666666666</v>
      </c>
      <c r="BE48" s="6">
        <f t="shared" si="112"/>
        <v>214635.41666666666</v>
      </c>
      <c r="BF48" s="6">
        <f t="shared" si="112"/>
        <v>245885.41666666666</v>
      </c>
      <c r="BG48" s="6">
        <f t="shared" si="112"/>
        <v>277135.4166666666</v>
      </c>
      <c r="BH48" s="6">
        <f t="shared" si="112"/>
        <v>300572.9166666666</v>
      </c>
      <c r="BI48" s="6">
        <f t="shared" si="112"/>
        <v>324010.4166666666</v>
      </c>
      <c r="BJ48" s="6">
        <f t="shared" si="112"/>
        <v>339635.4166666666</v>
      </c>
      <c r="BK48" s="6">
        <f t="shared" si="112"/>
        <v>339635.4166666666</v>
      </c>
      <c r="BL48" s="6">
        <f t="shared" si="112"/>
        <v>459632.1875</v>
      </c>
      <c r="BM48" s="6">
        <f t="shared" si="112"/>
        <v>459632.1875</v>
      </c>
      <c r="BN48" s="6">
        <f t="shared" si="112"/>
        <v>459632.1875</v>
      </c>
      <c r="BO48" s="6">
        <f t="shared" si="112"/>
        <v>459632.1875</v>
      </c>
      <c r="BP48" s="6">
        <f t="shared" si="112"/>
        <v>459632.1875</v>
      </c>
      <c r="BQ48" s="6">
        <f t="shared" si="112"/>
        <v>459632.1875</v>
      </c>
      <c r="BR48" s="6">
        <f t="shared" si="112"/>
        <v>459632.1875</v>
      </c>
      <c r="BS48" s="6">
        <f t="shared" si="112"/>
        <v>459632.1875</v>
      </c>
      <c r="BT48" s="6">
        <f t="shared" si="112"/>
        <v>459632.1875</v>
      </c>
      <c r="BU48" s="6">
        <f t="shared" si="112"/>
        <v>459632.1875</v>
      </c>
      <c r="BV48" s="6">
        <f t="shared" si="112"/>
        <v>459632.1875</v>
      </c>
      <c r="BW48" s="6">
        <f t="shared" si="112"/>
        <v>459632.1875</v>
      </c>
      <c r="BX48" s="6">
        <f t="shared" si="112"/>
        <v>585999.509375</v>
      </c>
      <c r="BY48" s="6">
        <f t="shared" si="112"/>
        <v>585999.509375</v>
      </c>
      <c r="BZ48" s="6">
        <f t="shared" si="112"/>
        <v>585999.509375</v>
      </c>
      <c r="CA48" s="6">
        <f t="shared" si="112"/>
        <v>585999.509375</v>
      </c>
      <c r="CB48" s="6">
        <f t="shared" si="112"/>
        <v>585999.509375</v>
      </c>
      <c r="CC48" s="6">
        <f t="shared" si="112"/>
        <v>585999.509375</v>
      </c>
      <c r="CD48" s="6">
        <f t="shared" si="112"/>
        <v>585999.509375</v>
      </c>
      <c r="CE48" s="6">
        <f t="shared" si="112"/>
        <v>585999.509375</v>
      </c>
      <c r="CF48" s="6">
        <f t="shared" si="112"/>
        <v>585999.509375</v>
      </c>
      <c r="CG48" s="6">
        <f t="shared" si="112"/>
        <v>585999.509375</v>
      </c>
      <c r="CH48" s="6">
        <f t="shared" si="112"/>
        <v>585999.509375</v>
      </c>
      <c r="CI48" s="6">
        <f t="shared" si="112"/>
        <v>585999.509375</v>
      </c>
    </row>
    <row r="49" spans="2:87" ht="12.75" customHeight="1">
      <c r="B49" s="32"/>
      <c r="C49" s="26"/>
      <c r="D49" s="26"/>
      <c r="E49" s="246"/>
      <c r="F49" s="111"/>
      <c r="G49" s="23"/>
      <c r="H49" s="23"/>
      <c r="I49" s="23"/>
      <c r="J49" s="246"/>
      <c r="K49" s="158"/>
      <c r="L49" s="153"/>
      <c r="M49" s="342"/>
      <c r="N49" s="246"/>
      <c r="AZ49" s="6"/>
      <c r="BA49" s="6"/>
      <c r="BB49" s="6"/>
      <c r="BC49" s="6"/>
      <c r="BD49" s="6" t="s">
        <v>482</v>
      </c>
      <c r="BE49" s="6">
        <f>SUM(AZ48:BE48)</f>
        <v>790312.4999999999</v>
      </c>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row>
    <row r="50" spans="1:87" s="217" customFormat="1" ht="12.75" customHeight="1" thickBot="1">
      <c r="A50" s="218"/>
      <c r="B50" s="218"/>
      <c r="E50" s="249"/>
      <c r="F50" s="219"/>
      <c r="G50" s="220"/>
      <c r="H50" s="220"/>
      <c r="I50" s="220"/>
      <c r="J50" s="249"/>
      <c r="K50" s="218"/>
      <c r="M50" s="79"/>
      <c r="N50" s="249"/>
      <c r="AZ50" s="220"/>
      <c r="BA50" s="220"/>
      <c r="BB50" s="220"/>
      <c r="BC50" s="220"/>
      <c r="BD50" s="220"/>
      <c r="BE50" s="220"/>
      <c r="BF50" s="220"/>
      <c r="BG50" s="220"/>
      <c r="BH50" s="220"/>
      <c r="BI50" s="220"/>
      <c r="BJ50" s="220"/>
      <c r="BK50" s="220"/>
      <c r="BL50" s="220"/>
      <c r="BM50" s="220"/>
      <c r="BN50" s="220"/>
      <c r="BO50" s="220"/>
      <c r="BP50" s="220"/>
      <c r="BQ50" s="220"/>
      <c r="BR50" s="220"/>
      <c r="BS50" s="220"/>
      <c r="BT50" s="220"/>
      <c r="BU50" s="220"/>
      <c r="BV50" s="220"/>
      <c r="BW50" s="220"/>
      <c r="BX50" s="220"/>
      <c r="BY50" s="220"/>
      <c r="BZ50" s="220"/>
      <c r="CA50" s="220"/>
      <c r="CB50" s="220"/>
      <c r="CC50" s="220"/>
      <c r="CD50" s="220"/>
      <c r="CE50" s="220"/>
      <c r="CF50" s="220"/>
      <c r="CG50" s="220"/>
      <c r="CH50" s="220"/>
      <c r="CI50" s="220"/>
    </row>
    <row r="51" spans="1:87" ht="12.75" customHeight="1" thickTop="1">
      <c r="A51" s="162" t="s">
        <v>326</v>
      </c>
      <c r="B51" s="221">
        <f>B17+B25+B37+B45</f>
        <v>45.6</v>
      </c>
      <c r="C51" s="222">
        <f>C17+C25+C37+C45</f>
        <v>67.1</v>
      </c>
      <c r="D51" s="222">
        <f>D17+D25+D37+D45</f>
        <v>90.4</v>
      </c>
      <c r="E51" s="80"/>
      <c r="F51" s="162"/>
      <c r="G51" s="223"/>
      <c r="H51" s="224"/>
      <c r="I51" s="224"/>
      <c r="J51" s="246"/>
      <c r="K51" s="32"/>
      <c r="L51" s="26"/>
      <c r="M51" s="108"/>
      <c r="N51" s="246"/>
      <c r="AZ51" s="225"/>
      <c r="BA51" s="225"/>
      <c r="BB51" s="225"/>
      <c r="BC51" s="225"/>
      <c r="BD51" s="225"/>
      <c r="BE51" s="225"/>
      <c r="BF51" s="225"/>
      <c r="BG51" s="225"/>
      <c r="BH51" s="225"/>
      <c r="BI51" s="225"/>
      <c r="BJ51" s="225"/>
      <c r="BK51" s="225"/>
      <c r="BL51" s="225"/>
      <c r="BM51" s="225"/>
      <c r="BN51" s="225"/>
      <c r="BO51" s="225"/>
      <c r="BP51" s="225"/>
      <c r="BQ51" s="225"/>
      <c r="BR51" s="225"/>
      <c r="BS51" s="225"/>
      <c r="BT51" s="225"/>
      <c r="BU51" s="225"/>
      <c r="BV51" s="225"/>
      <c r="BW51" s="225"/>
      <c r="BX51" s="225"/>
      <c r="BY51" s="225"/>
      <c r="BZ51" s="225"/>
      <c r="CA51" s="225"/>
      <c r="CB51" s="225"/>
      <c r="CC51" s="225"/>
      <c r="CD51" s="225"/>
      <c r="CE51" s="225"/>
      <c r="CF51" s="225"/>
      <c r="CG51" s="225"/>
      <c r="CH51" s="225"/>
      <c r="CI51" s="225"/>
    </row>
    <row r="52" spans="1:87" ht="12.75" customHeight="1">
      <c r="A52" s="57" t="s">
        <v>142</v>
      </c>
      <c r="B52" s="32"/>
      <c r="C52" s="26"/>
      <c r="D52" s="26"/>
      <c r="E52" s="246"/>
      <c r="F52" s="32"/>
      <c r="G52" s="26"/>
      <c r="H52" s="26"/>
      <c r="I52" s="26"/>
      <c r="J52" s="246"/>
      <c r="K52" s="226">
        <f>K19+K27+K39+K47</f>
        <v>2617187.5</v>
      </c>
      <c r="L52" s="227">
        <f>L19+L27+L39+L47</f>
        <v>5453786.25</v>
      </c>
      <c r="M52" s="58">
        <f>M19+M27+M39+M47</f>
        <v>6841032.1125</v>
      </c>
      <c r="N52" s="24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row>
    <row r="53" spans="1:87" ht="12.75" customHeight="1" thickBot="1">
      <c r="A53" s="159"/>
      <c r="B53" s="159"/>
      <c r="C53" s="138"/>
      <c r="D53" s="138"/>
      <c r="E53" s="256"/>
      <c r="F53" s="159"/>
      <c r="G53" s="138"/>
      <c r="H53" s="138"/>
      <c r="I53" s="138"/>
      <c r="J53" s="256"/>
      <c r="K53" s="159"/>
      <c r="L53" s="138"/>
      <c r="M53" s="161"/>
      <c r="N53" s="24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row>
    <row r="55" spans="1:87" ht="12.75" customHeight="1">
      <c r="A55" s="228" t="s">
        <v>143</v>
      </c>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row>
    <row r="57" ht="12.75" customHeight="1" thickBot="1"/>
    <row r="58" spans="1:87" ht="12.75" customHeight="1">
      <c r="A58" s="263" t="s">
        <v>144</v>
      </c>
      <c r="B58" s="208" t="s">
        <v>321</v>
      </c>
      <c r="C58" s="209"/>
      <c r="D58" s="209"/>
      <c r="E58" s="254"/>
      <c r="F58" s="208" t="s">
        <v>257</v>
      </c>
      <c r="G58" s="209"/>
      <c r="H58" s="209"/>
      <c r="I58" s="209"/>
      <c r="J58" s="254"/>
      <c r="K58" s="208" t="s">
        <v>247</v>
      </c>
      <c r="L58" s="209"/>
      <c r="M58" s="209"/>
      <c r="N58" s="254"/>
      <c r="O58" s="54" t="s">
        <v>196</v>
      </c>
      <c r="P58" s="54"/>
      <c r="Q58" s="54"/>
      <c r="R58" s="54"/>
      <c r="S58" s="54"/>
      <c r="T58" s="54"/>
      <c r="U58" s="54"/>
      <c r="V58" s="54"/>
      <c r="W58" s="54"/>
      <c r="X58" s="54"/>
      <c r="Y58" s="54"/>
      <c r="Z58" s="54"/>
      <c r="AA58" s="54" t="s">
        <v>197</v>
      </c>
      <c r="AB58" s="54"/>
      <c r="AC58" s="54"/>
      <c r="AD58" s="54"/>
      <c r="AE58" s="54"/>
      <c r="AF58" s="54"/>
      <c r="AG58" s="54"/>
      <c r="AH58" s="54"/>
      <c r="AI58" s="54"/>
      <c r="AJ58" s="54"/>
      <c r="AK58" s="54"/>
      <c r="AL58" s="54"/>
      <c r="AM58" s="54" t="s">
        <v>198</v>
      </c>
      <c r="AN58" s="54"/>
      <c r="AO58" s="54"/>
      <c r="AP58" s="54"/>
      <c r="AQ58" s="54"/>
      <c r="AR58" s="54"/>
      <c r="AS58" s="54"/>
      <c r="AT58" s="54"/>
      <c r="AU58" s="54"/>
      <c r="AV58" s="54"/>
      <c r="AW58" s="54"/>
      <c r="AX58" s="54"/>
      <c r="AY58" s="209"/>
      <c r="AZ58" s="255" t="s">
        <v>196</v>
      </c>
      <c r="BA58" s="209"/>
      <c r="BB58" s="209"/>
      <c r="BC58" s="209"/>
      <c r="BD58" s="54"/>
      <c r="BE58" s="54"/>
      <c r="BF58" s="54"/>
      <c r="BG58" s="54"/>
      <c r="BH58" s="54"/>
      <c r="BI58" s="54"/>
      <c r="BJ58" s="54"/>
      <c r="BK58" s="54"/>
      <c r="BL58" s="255" t="s">
        <v>197</v>
      </c>
      <c r="BM58" s="209"/>
      <c r="BN58" s="209"/>
      <c r="BO58" s="209"/>
      <c r="BP58" s="54"/>
      <c r="BQ58" s="54"/>
      <c r="BR58" s="54"/>
      <c r="BS58" s="54"/>
      <c r="BT58" s="54"/>
      <c r="BU58" s="54"/>
      <c r="BV58" s="54"/>
      <c r="BW58" s="54"/>
      <c r="BX58" s="255" t="s">
        <v>198</v>
      </c>
      <c r="BY58" s="209"/>
      <c r="BZ58" s="209"/>
      <c r="CA58" s="209"/>
      <c r="CB58" s="54"/>
      <c r="CC58" s="54"/>
      <c r="CD58" s="54"/>
      <c r="CE58" s="54"/>
      <c r="CF58" s="54"/>
      <c r="CG58" s="54"/>
      <c r="CH58" s="54"/>
      <c r="CI58" s="39"/>
    </row>
    <row r="59" spans="1:87" ht="12.75" customHeight="1">
      <c r="A59" s="32"/>
      <c r="B59" s="32" t="s">
        <v>196</v>
      </c>
      <c r="C59" s="26" t="s">
        <v>197</v>
      </c>
      <c r="D59" s="26" t="s">
        <v>198</v>
      </c>
      <c r="E59" s="246"/>
      <c r="F59" s="210" t="s">
        <v>125</v>
      </c>
      <c r="G59" s="55" t="s">
        <v>196</v>
      </c>
      <c r="H59" s="55" t="s">
        <v>197</v>
      </c>
      <c r="I59" s="55" t="s">
        <v>198</v>
      </c>
      <c r="J59" s="246"/>
      <c r="K59" s="32" t="s">
        <v>196</v>
      </c>
      <c r="L59" s="26" t="s">
        <v>197</v>
      </c>
      <c r="M59" s="26" t="s">
        <v>198</v>
      </c>
      <c r="N59" s="246"/>
      <c r="O59" s="41" t="s">
        <v>200</v>
      </c>
      <c r="P59" s="41" t="s">
        <v>201</v>
      </c>
      <c r="Q59" s="41" t="s">
        <v>202</v>
      </c>
      <c r="R59" s="41" t="s">
        <v>203</v>
      </c>
      <c r="S59" s="41" t="s">
        <v>477</v>
      </c>
      <c r="T59" s="41" t="s">
        <v>357</v>
      </c>
      <c r="U59" s="41" t="s">
        <v>358</v>
      </c>
      <c r="V59" s="41" t="s">
        <v>359</v>
      </c>
      <c r="W59" s="41" t="s">
        <v>360</v>
      </c>
      <c r="X59" s="41" t="s">
        <v>361</v>
      </c>
      <c r="Y59" s="41" t="s">
        <v>362</v>
      </c>
      <c r="Z59" s="41" t="s">
        <v>363</v>
      </c>
      <c r="AA59" s="41" t="s">
        <v>200</v>
      </c>
      <c r="AB59" s="41" t="s">
        <v>201</v>
      </c>
      <c r="AC59" s="41" t="s">
        <v>202</v>
      </c>
      <c r="AD59" s="41" t="s">
        <v>203</v>
      </c>
      <c r="AE59" s="41" t="s">
        <v>477</v>
      </c>
      <c r="AF59" s="41" t="s">
        <v>357</v>
      </c>
      <c r="AG59" s="41" t="s">
        <v>358</v>
      </c>
      <c r="AH59" s="41" t="s">
        <v>359</v>
      </c>
      <c r="AI59" s="41" t="s">
        <v>360</v>
      </c>
      <c r="AJ59" s="41" t="s">
        <v>361</v>
      </c>
      <c r="AK59" s="41" t="s">
        <v>362</v>
      </c>
      <c r="AL59" s="41" t="s">
        <v>363</v>
      </c>
      <c r="AM59" s="43" t="s">
        <v>200</v>
      </c>
      <c r="AN59" s="43" t="s">
        <v>201</v>
      </c>
      <c r="AO59" s="43" t="s">
        <v>202</v>
      </c>
      <c r="AP59" s="43" t="s">
        <v>203</v>
      </c>
      <c r="AQ59" s="43" t="s">
        <v>477</v>
      </c>
      <c r="AR59" s="43" t="s">
        <v>357</v>
      </c>
      <c r="AS59" s="43" t="s">
        <v>358</v>
      </c>
      <c r="AT59" s="43" t="s">
        <v>359</v>
      </c>
      <c r="AU59" s="43" t="s">
        <v>360</v>
      </c>
      <c r="AV59" s="43" t="s">
        <v>361</v>
      </c>
      <c r="AW59" s="43" t="s">
        <v>362</v>
      </c>
      <c r="AX59" s="43" t="s">
        <v>363</v>
      </c>
      <c r="AY59" s="26"/>
      <c r="AZ59" s="41" t="s">
        <v>200</v>
      </c>
      <c r="BA59" s="41" t="s">
        <v>201</v>
      </c>
      <c r="BB59" s="41" t="s">
        <v>202</v>
      </c>
      <c r="BC59" s="41" t="s">
        <v>203</v>
      </c>
      <c r="BD59" s="41" t="s">
        <v>477</v>
      </c>
      <c r="BE59" s="41" t="s">
        <v>357</v>
      </c>
      <c r="BF59" s="41" t="s">
        <v>358</v>
      </c>
      <c r="BG59" s="41" t="s">
        <v>359</v>
      </c>
      <c r="BH59" s="41" t="s">
        <v>360</v>
      </c>
      <c r="BI59" s="41" t="s">
        <v>361</v>
      </c>
      <c r="BJ59" s="41" t="s">
        <v>362</v>
      </c>
      <c r="BK59" s="41" t="s">
        <v>363</v>
      </c>
      <c r="BL59" s="41" t="s">
        <v>200</v>
      </c>
      <c r="BM59" s="41" t="s">
        <v>201</v>
      </c>
      <c r="BN59" s="41" t="s">
        <v>202</v>
      </c>
      <c r="BO59" s="41" t="s">
        <v>203</v>
      </c>
      <c r="BP59" s="41" t="s">
        <v>477</v>
      </c>
      <c r="BQ59" s="41" t="s">
        <v>357</v>
      </c>
      <c r="BR59" s="41" t="s">
        <v>358</v>
      </c>
      <c r="BS59" s="41" t="s">
        <v>359</v>
      </c>
      <c r="BT59" s="41" t="s">
        <v>360</v>
      </c>
      <c r="BU59" s="41" t="s">
        <v>361</v>
      </c>
      <c r="BV59" s="41" t="s">
        <v>362</v>
      </c>
      <c r="BW59" s="41" t="s">
        <v>363</v>
      </c>
      <c r="BX59" s="43" t="s">
        <v>200</v>
      </c>
      <c r="BY59" s="43" t="s">
        <v>201</v>
      </c>
      <c r="BZ59" s="43" t="s">
        <v>202</v>
      </c>
      <c r="CA59" s="43" t="s">
        <v>203</v>
      </c>
      <c r="CB59" s="43" t="s">
        <v>477</v>
      </c>
      <c r="CC59" s="43" t="s">
        <v>357</v>
      </c>
      <c r="CD59" s="43" t="s">
        <v>358</v>
      </c>
      <c r="CE59" s="43" t="s">
        <v>359</v>
      </c>
      <c r="CF59" s="43" t="s">
        <v>360</v>
      </c>
      <c r="CG59" s="43" t="s">
        <v>361</v>
      </c>
      <c r="CH59" s="43" t="s">
        <v>362</v>
      </c>
      <c r="CI59" s="106" t="s">
        <v>363</v>
      </c>
    </row>
    <row r="60" spans="1:87" ht="12.75" customHeight="1">
      <c r="A60" s="162" t="s">
        <v>238</v>
      </c>
      <c r="B60" s="32"/>
      <c r="C60" s="26"/>
      <c r="D60" s="26"/>
      <c r="E60" s="246"/>
      <c r="F60" s="111"/>
      <c r="G60" s="23"/>
      <c r="H60" s="23"/>
      <c r="I60" s="23"/>
      <c r="J60" s="246"/>
      <c r="K60" s="32"/>
      <c r="L60" s="26"/>
      <c r="M60" s="26"/>
      <c r="N60" s="24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112"/>
    </row>
    <row r="61" spans="1:87" ht="12.75" customHeight="1">
      <c r="A61" s="32" t="s">
        <v>126</v>
      </c>
      <c r="B61" s="211">
        <f>Z61</f>
        <v>20</v>
      </c>
      <c r="C61" s="235">
        <v>25</v>
      </c>
      <c r="D61" s="235">
        <v>30</v>
      </c>
      <c r="E61" s="246"/>
      <c r="F61" s="238">
        <v>75000</v>
      </c>
      <c r="G61" s="23">
        <f>F61</f>
        <v>75000</v>
      </c>
      <c r="H61" s="23">
        <f>G61*(1+C4)</f>
        <v>78750</v>
      </c>
      <c r="I61" s="23">
        <f>H61*(1+D5)</f>
        <v>81112.5</v>
      </c>
      <c r="J61" s="246"/>
      <c r="K61" s="158">
        <f>SUM(AZ61:BK61)</f>
        <v>756250</v>
      </c>
      <c r="L61" s="153">
        <f>SUM(BL61:BW61)</f>
        <v>1968750</v>
      </c>
      <c r="M61" s="153">
        <f>SUM(BX61:CI61)</f>
        <v>2433375</v>
      </c>
      <c r="N61" s="246"/>
      <c r="O61" s="26">
        <v>0</v>
      </c>
      <c r="P61" s="26">
        <v>0</v>
      </c>
      <c r="Q61" s="26">
        <v>0</v>
      </c>
      <c r="R61" s="26">
        <v>2</v>
      </c>
      <c r="S61" s="26">
        <v>5</v>
      </c>
      <c r="T61" s="26">
        <v>8</v>
      </c>
      <c r="U61" s="26">
        <v>12</v>
      </c>
      <c r="V61" s="26">
        <v>16</v>
      </c>
      <c r="W61" s="26">
        <v>18</v>
      </c>
      <c r="X61" s="26">
        <v>20</v>
      </c>
      <c r="Y61" s="26">
        <v>20</v>
      </c>
      <c r="Z61" s="26">
        <v>20</v>
      </c>
      <c r="AA61" s="26">
        <f>$C$61</f>
        <v>25</v>
      </c>
      <c r="AB61" s="26">
        <f aca="true" t="shared" si="113" ref="AB61:AL61">$C$61</f>
        <v>25</v>
      </c>
      <c r="AC61" s="26">
        <f t="shared" si="113"/>
        <v>25</v>
      </c>
      <c r="AD61" s="26">
        <f t="shared" si="113"/>
        <v>25</v>
      </c>
      <c r="AE61" s="26">
        <f t="shared" si="113"/>
        <v>25</v>
      </c>
      <c r="AF61" s="26">
        <f t="shared" si="113"/>
        <v>25</v>
      </c>
      <c r="AG61" s="26">
        <f t="shared" si="113"/>
        <v>25</v>
      </c>
      <c r="AH61" s="26">
        <f t="shared" si="113"/>
        <v>25</v>
      </c>
      <c r="AI61" s="26">
        <f t="shared" si="113"/>
        <v>25</v>
      </c>
      <c r="AJ61" s="26">
        <f t="shared" si="113"/>
        <v>25</v>
      </c>
      <c r="AK61" s="26">
        <f t="shared" si="113"/>
        <v>25</v>
      </c>
      <c r="AL61" s="26">
        <f t="shared" si="113"/>
        <v>25</v>
      </c>
      <c r="AM61" s="26">
        <f>$D$61</f>
        <v>30</v>
      </c>
      <c r="AN61" s="26">
        <f aca="true" t="shared" si="114" ref="AN61:AX61">$D$61</f>
        <v>30</v>
      </c>
      <c r="AO61" s="26">
        <f t="shared" si="114"/>
        <v>30</v>
      </c>
      <c r="AP61" s="26">
        <f t="shared" si="114"/>
        <v>30</v>
      </c>
      <c r="AQ61" s="26">
        <f t="shared" si="114"/>
        <v>30</v>
      </c>
      <c r="AR61" s="26">
        <f t="shared" si="114"/>
        <v>30</v>
      </c>
      <c r="AS61" s="26">
        <f t="shared" si="114"/>
        <v>30</v>
      </c>
      <c r="AT61" s="26">
        <f t="shared" si="114"/>
        <v>30</v>
      </c>
      <c r="AU61" s="26">
        <f t="shared" si="114"/>
        <v>30</v>
      </c>
      <c r="AV61" s="26">
        <f t="shared" si="114"/>
        <v>30</v>
      </c>
      <c r="AW61" s="26">
        <f t="shared" si="114"/>
        <v>30</v>
      </c>
      <c r="AX61" s="26">
        <f t="shared" si="114"/>
        <v>30</v>
      </c>
      <c r="AY61" s="26"/>
      <c r="AZ61" s="23">
        <f>($G$61/12)*O61</f>
        <v>0</v>
      </c>
      <c r="BA61" s="23">
        <f aca="true" t="shared" si="115" ref="BA61:BK61">($G$61/12)*P61</f>
        <v>0</v>
      </c>
      <c r="BB61" s="23">
        <f t="shared" si="115"/>
        <v>0</v>
      </c>
      <c r="BC61" s="23">
        <f t="shared" si="115"/>
        <v>12500</v>
      </c>
      <c r="BD61" s="23">
        <f t="shared" si="115"/>
        <v>31250</v>
      </c>
      <c r="BE61" s="23">
        <f t="shared" si="115"/>
        <v>50000</v>
      </c>
      <c r="BF61" s="23">
        <f t="shared" si="115"/>
        <v>75000</v>
      </c>
      <c r="BG61" s="23">
        <f t="shared" si="115"/>
        <v>100000</v>
      </c>
      <c r="BH61" s="23">
        <f t="shared" si="115"/>
        <v>112500</v>
      </c>
      <c r="BI61" s="23">
        <f t="shared" si="115"/>
        <v>125000</v>
      </c>
      <c r="BJ61" s="23">
        <f t="shared" si="115"/>
        <v>125000</v>
      </c>
      <c r="BK61" s="23">
        <f t="shared" si="115"/>
        <v>125000</v>
      </c>
      <c r="BL61" s="23">
        <f>($H$61/12)*AA61</f>
        <v>164062.5</v>
      </c>
      <c r="BM61" s="23">
        <f>($H$61/12)*AB61</f>
        <v>164062.5</v>
      </c>
      <c r="BN61" s="23">
        <f aca="true" t="shared" si="116" ref="BN61:BW61">($H$61/12)*AC61</f>
        <v>164062.5</v>
      </c>
      <c r="BO61" s="23">
        <f t="shared" si="116"/>
        <v>164062.5</v>
      </c>
      <c r="BP61" s="23">
        <f t="shared" si="116"/>
        <v>164062.5</v>
      </c>
      <c r="BQ61" s="23">
        <f t="shared" si="116"/>
        <v>164062.5</v>
      </c>
      <c r="BR61" s="23">
        <f t="shared" si="116"/>
        <v>164062.5</v>
      </c>
      <c r="BS61" s="23">
        <f t="shared" si="116"/>
        <v>164062.5</v>
      </c>
      <c r="BT61" s="23">
        <f t="shared" si="116"/>
        <v>164062.5</v>
      </c>
      <c r="BU61" s="23">
        <f t="shared" si="116"/>
        <v>164062.5</v>
      </c>
      <c r="BV61" s="23">
        <f t="shared" si="116"/>
        <v>164062.5</v>
      </c>
      <c r="BW61" s="23">
        <f t="shared" si="116"/>
        <v>164062.5</v>
      </c>
      <c r="BX61" s="23">
        <f>($I$61/12)*AM61</f>
        <v>202781.25</v>
      </c>
      <c r="BY61" s="23">
        <f aca="true" t="shared" si="117" ref="BY61:CI61">($I$61/12)*AN61</f>
        <v>202781.25</v>
      </c>
      <c r="BZ61" s="23">
        <f t="shared" si="117"/>
        <v>202781.25</v>
      </c>
      <c r="CA61" s="23">
        <f t="shared" si="117"/>
        <v>202781.25</v>
      </c>
      <c r="CB61" s="23">
        <f t="shared" si="117"/>
        <v>202781.25</v>
      </c>
      <c r="CC61" s="23">
        <f t="shared" si="117"/>
        <v>202781.25</v>
      </c>
      <c r="CD61" s="23">
        <f t="shared" si="117"/>
        <v>202781.25</v>
      </c>
      <c r="CE61" s="23">
        <f t="shared" si="117"/>
        <v>202781.25</v>
      </c>
      <c r="CF61" s="23">
        <f t="shared" si="117"/>
        <v>202781.25</v>
      </c>
      <c r="CG61" s="23">
        <f t="shared" si="117"/>
        <v>202781.25</v>
      </c>
      <c r="CH61" s="23">
        <f t="shared" si="117"/>
        <v>202781.25</v>
      </c>
      <c r="CI61" s="112">
        <f t="shared" si="117"/>
        <v>202781.25</v>
      </c>
    </row>
    <row r="62" spans="1:114" s="52" customFormat="1" ht="12.75" customHeight="1">
      <c r="A62" s="38" t="s">
        <v>127</v>
      </c>
      <c r="B62" s="33">
        <f>Z62</f>
        <v>6</v>
      </c>
      <c r="C62" s="237">
        <v>6</v>
      </c>
      <c r="D62" s="237">
        <v>6</v>
      </c>
      <c r="E62" s="248"/>
      <c r="F62" s="239">
        <v>75000</v>
      </c>
      <c r="G62" s="116">
        <f>F62</f>
        <v>75000</v>
      </c>
      <c r="H62" s="116">
        <f>G62*(1+C4)</f>
        <v>78750</v>
      </c>
      <c r="I62" s="116">
        <f>H62*(1+D5)</f>
        <v>81112.5</v>
      </c>
      <c r="J62" s="248"/>
      <c r="K62" s="214">
        <f>SUM(AZ62:BK62)</f>
        <v>168750</v>
      </c>
      <c r="L62" s="215">
        <f>SUM(BL62:BW62)</f>
        <v>472500</v>
      </c>
      <c r="M62" s="215">
        <f>SUM(BX62:CI62)</f>
        <v>486675</v>
      </c>
      <c r="N62" s="248"/>
      <c r="O62" s="52">
        <v>0</v>
      </c>
      <c r="P62" s="52">
        <v>0</v>
      </c>
      <c r="Q62" s="52">
        <v>0</v>
      </c>
      <c r="R62" s="52">
        <v>1</v>
      </c>
      <c r="S62" s="52">
        <v>1</v>
      </c>
      <c r="T62" s="52">
        <v>2</v>
      </c>
      <c r="U62" s="52">
        <v>2</v>
      </c>
      <c r="V62" s="52">
        <v>2</v>
      </c>
      <c r="W62" s="52">
        <v>3</v>
      </c>
      <c r="X62" s="52">
        <v>4</v>
      </c>
      <c r="Y62" s="52">
        <v>6</v>
      </c>
      <c r="Z62" s="52">
        <v>6</v>
      </c>
      <c r="AA62" s="52">
        <f aca="true" t="shared" si="118" ref="AA62:AL62">$C$62</f>
        <v>6</v>
      </c>
      <c r="AB62" s="52">
        <f t="shared" si="118"/>
        <v>6</v>
      </c>
      <c r="AC62" s="52">
        <f t="shared" si="118"/>
        <v>6</v>
      </c>
      <c r="AD62" s="52">
        <f t="shared" si="118"/>
        <v>6</v>
      </c>
      <c r="AE62" s="52">
        <f t="shared" si="118"/>
        <v>6</v>
      </c>
      <c r="AF62" s="52">
        <f t="shared" si="118"/>
        <v>6</v>
      </c>
      <c r="AG62" s="52">
        <f t="shared" si="118"/>
        <v>6</v>
      </c>
      <c r="AH62" s="52">
        <f t="shared" si="118"/>
        <v>6</v>
      </c>
      <c r="AI62" s="52">
        <f t="shared" si="118"/>
        <v>6</v>
      </c>
      <c r="AJ62" s="52">
        <f t="shared" si="118"/>
        <v>6</v>
      </c>
      <c r="AK62" s="52">
        <f t="shared" si="118"/>
        <v>6</v>
      </c>
      <c r="AL62" s="52">
        <f t="shared" si="118"/>
        <v>6</v>
      </c>
      <c r="AM62" s="52">
        <f aca="true" t="shared" si="119" ref="AM62:AX62">$D$62</f>
        <v>6</v>
      </c>
      <c r="AN62" s="52">
        <f t="shared" si="119"/>
        <v>6</v>
      </c>
      <c r="AO62" s="52">
        <f t="shared" si="119"/>
        <v>6</v>
      </c>
      <c r="AP62" s="52">
        <f t="shared" si="119"/>
        <v>6</v>
      </c>
      <c r="AQ62" s="52">
        <f t="shared" si="119"/>
        <v>6</v>
      </c>
      <c r="AR62" s="52">
        <f t="shared" si="119"/>
        <v>6</v>
      </c>
      <c r="AS62" s="52">
        <f t="shared" si="119"/>
        <v>6</v>
      </c>
      <c r="AT62" s="52">
        <f t="shared" si="119"/>
        <v>6</v>
      </c>
      <c r="AU62" s="52">
        <f t="shared" si="119"/>
        <v>6</v>
      </c>
      <c r="AV62" s="52">
        <f t="shared" si="119"/>
        <v>6</v>
      </c>
      <c r="AW62" s="52">
        <f t="shared" si="119"/>
        <v>6</v>
      </c>
      <c r="AX62" s="52">
        <f t="shared" si="119"/>
        <v>6</v>
      </c>
      <c r="AZ62" s="116">
        <f>($G$62/12)*O62</f>
        <v>0</v>
      </c>
      <c r="BA62" s="116">
        <f>($G$62/12)*P62</f>
        <v>0</v>
      </c>
      <c r="BB62" s="116">
        <f>($G$62/12)*Q62</f>
        <v>0</v>
      </c>
      <c r="BC62" s="116">
        <f>($G$62/12)*R62</f>
        <v>6250</v>
      </c>
      <c r="BD62" s="116">
        <f aca="true" t="shared" si="120" ref="BD62:BK62">($G$62/12)*S62</f>
        <v>6250</v>
      </c>
      <c r="BE62" s="116">
        <f t="shared" si="120"/>
        <v>12500</v>
      </c>
      <c r="BF62" s="116">
        <f t="shared" si="120"/>
        <v>12500</v>
      </c>
      <c r="BG62" s="116">
        <f t="shared" si="120"/>
        <v>12500</v>
      </c>
      <c r="BH62" s="116">
        <f t="shared" si="120"/>
        <v>18750</v>
      </c>
      <c r="BI62" s="116">
        <f t="shared" si="120"/>
        <v>25000</v>
      </c>
      <c r="BJ62" s="116">
        <f t="shared" si="120"/>
        <v>37500</v>
      </c>
      <c r="BK62" s="116">
        <f t="shared" si="120"/>
        <v>37500</v>
      </c>
      <c r="BL62" s="116">
        <f aca="true" t="shared" si="121" ref="BL62:BW62">($H$62/12)*AA62</f>
        <v>39375</v>
      </c>
      <c r="BM62" s="116">
        <f t="shared" si="121"/>
        <v>39375</v>
      </c>
      <c r="BN62" s="116">
        <f t="shared" si="121"/>
        <v>39375</v>
      </c>
      <c r="BO62" s="116">
        <f t="shared" si="121"/>
        <v>39375</v>
      </c>
      <c r="BP62" s="116">
        <f t="shared" si="121"/>
        <v>39375</v>
      </c>
      <c r="BQ62" s="116">
        <f t="shared" si="121"/>
        <v>39375</v>
      </c>
      <c r="BR62" s="116">
        <f t="shared" si="121"/>
        <v>39375</v>
      </c>
      <c r="BS62" s="116">
        <f t="shared" si="121"/>
        <v>39375</v>
      </c>
      <c r="BT62" s="116">
        <f t="shared" si="121"/>
        <v>39375</v>
      </c>
      <c r="BU62" s="116">
        <f t="shared" si="121"/>
        <v>39375</v>
      </c>
      <c r="BV62" s="116">
        <f t="shared" si="121"/>
        <v>39375</v>
      </c>
      <c r="BW62" s="116">
        <f t="shared" si="121"/>
        <v>39375</v>
      </c>
      <c r="BX62" s="116">
        <f aca="true" t="shared" si="122" ref="BX62:CI62">($I$62/12)*AM62</f>
        <v>40556.25</v>
      </c>
      <c r="BY62" s="116">
        <f t="shared" si="122"/>
        <v>40556.25</v>
      </c>
      <c r="BZ62" s="116">
        <f t="shared" si="122"/>
        <v>40556.25</v>
      </c>
      <c r="CA62" s="116">
        <f t="shared" si="122"/>
        <v>40556.25</v>
      </c>
      <c r="CB62" s="116">
        <f t="shared" si="122"/>
        <v>40556.25</v>
      </c>
      <c r="CC62" s="116">
        <f t="shared" si="122"/>
        <v>40556.25</v>
      </c>
      <c r="CD62" s="116">
        <f t="shared" si="122"/>
        <v>40556.25</v>
      </c>
      <c r="CE62" s="116">
        <f t="shared" si="122"/>
        <v>40556.25</v>
      </c>
      <c r="CF62" s="116">
        <f t="shared" si="122"/>
        <v>40556.25</v>
      </c>
      <c r="CG62" s="116">
        <f t="shared" si="122"/>
        <v>40556.25</v>
      </c>
      <c r="CH62" s="116">
        <f t="shared" si="122"/>
        <v>40556.25</v>
      </c>
      <c r="CI62" s="119">
        <f t="shared" si="122"/>
        <v>40556.25</v>
      </c>
      <c r="CJ62" s="116"/>
      <c r="CK62" s="116"/>
      <c r="CL62" s="116"/>
      <c r="CM62" s="116"/>
      <c r="CN62" s="116"/>
      <c r="CO62" s="116"/>
      <c r="CP62" s="116"/>
      <c r="CQ62" s="116"/>
      <c r="CR62" s="116"/>
      <c r="CS62" s="116"/>
      <c r="CT62" s="116"/>
      <c r="CU62" s="116"/>
      <c r="CV62" s="116"/>
      <c r="CW62" s="116"/>
      <c r="CX62" s="116"/>
      <c r="CY62" s="116"/>
      <c r="CZ62" s="116"/>
      <c r="DA62" s="116"/>
      <c r="DB62" s="116"/>
      <c r="DC62" s="116"/>
      <c r="DD62" s="116"/>
      <c r="DE62" s="116"/>
      <c r="DF62" s="116"/>
      <c r="DG62" s="116"/>
      <c r="DH62" s="116"/>
      <c r="DI62" s="116"/>
      <c r="DJ62" s="116"/>
    </row>
    <row r="63" spans="1:114" s="52" customFormat="1" ht="12.75" customHeight="1">
      <c r="A63" s="38" t="s">
        <v>195</v>
      </c>
      <c r="B63" s="38">
        <f>SUM(B61:B62)</f>
        <v>26</v>
      </c>
      <c r="C63" s="52">
        <f>SUM(C61:C62)</f>
        <v>31</v>
      </c>
      <c r="D63" s="52">
        <f>SUM(D61:D62)</f>
        <v>36</v>
      </c>
      <c r="E63" s="248"/>
      <c r="F63" s="118"/>
      <c r="G63" s="116"/>
      <c r="H63" s="116"/>
      <c r="I63" s="116"/>
      <c r="J63" s="248"/>
      <c r="K63" s="214">
        <f>SUM(K61:K62)</f>
        <v>925000</v>
      </c>
      <c r="L63" s="215">
        <f>SUM(L61:L62)</f>
        <v>2441250</v>
      </c>
      <c r="M63" s="215">
        <f>SUM(M61:M62)</f>
        <v>2920050</v>
      </c>
      <c r="N63" s="248"/>
      <c r="O63" s="52">
        <f aca="true" t="shared" si="123" ref="O63:AX63">SUM(O61:O62)</f>
        <v>0</v>
      </c>
      <c r="P63" s="52">
        <f t="shared" si="123"/>
        <v>0</v>
      </c>
      <c r="Q63" s="52">
        <f t="shared" si="123"/>
        <v>0</v>
      </c>
      <c r="R63" s="52">
        <f t="shared" si="123"/>
        <v>3</v>
      </c>
      <c r="S63" s="52">
        <f t="shared" si="123"/>
        <v>6</v>
      </c>
      <c r="T63" s="52">
        <f t="shared" si="123"/>
        <v>10</v>
      </c>
      <c r="U63" s="52">
        <f t="shared" si="123"/>
        <v>14</v>
      </c>
      <c r="V63" s="52">
        <f t="shared" si="123"/>
        <v>18</v>
      </c>
      <c r="W63" s="52">
        <f t="shared" si="123"/>
        <v>21</v>
      </c>
      <c r="X63" s="52">
        <f t="shared" si="123"/>
        <v>24</v>
      </c>
      <c r="Y63" s="52">
        <f t="shared" si="123"/>
        <v>26</v>
      </c>
      <c r="Z63" s="52">
        <f t="shared" si="123"/>
        <v>26</v>
      </c>
      <c r="AA63" s="52">
        <f t="shared" si="123"/>
        <v>31</v>
      </c>
      <c r="AB63" s="52">
        <f t="shared" si="123"/>
        <v>31</v>
      </c>
      <c r="AC63" s="52">
        <f t="shared" si="123"/>
        <v>31</v>
      </c>
      <c r="AD63" s="52">
        <f t="shared" si="123"/>
        <v>31</v>
      </c>
      <c r="AE63" s="52">
        <f t="shared" si="123"/>
        <v>31</v>
      </c>
      <c r="AF63" s="52">
        <f t="shared" si="123"/>
        <v>31</v>
      </c>
      <c r="AG63" s="52">
        <f t="shared" si="123"/>
        <v>31</v>
      </c>
      <c r="AH63" s="52">
        <f t="shared" si="123"/>
        <v>31</v>
      </c>
      <c r="AI63" s="52">
        <f t="shared" si="123"/>
        <v>31</v>
      </c>
      <c r="AJ63" s="52">
        <f t="shared" si="123"/>
        <v>31</v>
      </c>
      <c r="AK63" s="52">
        <f t="shared" si="123"/>
        <v>31</v>
      </c>
      <c r="AL63" s="52">
        <f t="shared" si="123"/>
        <v>31</v>
      </c>
      <c r="AM63" s="52">
        <f t="shared" si="123"/>
        <v>36</v>
      </c>
      <c r="AN63" s="52">
        <f t="shared" si="123"/>
        <v>36</v>
      </c>
      <c r="AO63" s="52">
        <f t="shared" si="123"/>
        <v>36</v>
      </c>
      <c r="AP63" s="52">
        <f t="shared" si="123"/>
        <v>36</v>
      </c>
      <c r="AQ63" s="52">
        <f t="shared" si="123"/>
        <v>36</v>
      </c>
      <c r="AR63" s="52">
        <f t="shared" si="123"/>
        <v>36</v>
      </c>
      <c r="AS63" s="52">
        <f t="shared" si="123"/>
        <v>36</v>
      </c>
      <c r="AT63" s="52">
        <f t="shared" si="123"/>
        <v>36</v>
      </c>
      <c r="AU63" s="52">
        <f t="shared" si="123"/>
        <v>36</v>
      </c>
      <c r="AV63" s="52">
        <f t="shared" si="123"/>
        <v>36</v>
      </c>
      <c r="AW63" s="52">
        <f t="shared" si="123"/>
        <v>36</v>
      </c>
      <c r="AX63" s="52">
        <f t="shared" si="123"/>
        <v>36</v>
      </c>
      <c r="AZ63" s="116">
        <f aca="true" t="shared" si="124" ref="AZ63:CI63">SUM(AZ61:AZ62)</f>
        <v>0</v>
      </c>
      <c r="BA63" s="116">
        <f t="shared" si="124"/>
        <v>0</v>
      </c>
      <c r="BB63" s="116">
        <f t="shared" si="124"/>
        <v>0</v>
      </c>
      <c r="BC63" s="116">
        <f t="shared" si="124"/>
        <v>18750</v>
      </c>
      <c r="BD63" s="116">
        <f t="shared" si="124"/>
        <v>37500</v>
      </c>
      <c r="BE63" s="116">
        <f t="shared" si="124"/>
        <v>62500</v>
      </c>
      <c r="BF63" s="116">
        <f t="shared" si="124"/>
        <v>87500</v>
      </c>
      <c r="BG63" s="116">
        <f t="shared" si="124"/>
        <v>112500</v>
      </c>
      <c r="BH63" s="116">
        <f t="shared" si="124"/>
        <v>131250</v>
      </c>
      <c r="BI63" s="116">
        <f t="shared" si="124"/>
        <v>150000</v>
      </c>
      <c r="BJ63" s="116">
        <f t="shared" si="124"/>
        <v>162500</v>
      </c>
      <c r="BK63" s="116">
        <f t="shared" si="124"/>
        <v>162500</v>
      </c>
      <c r="BL63" s="116">
        <f t="shared" si="124"/>
        <v>203437.5</v>
      </c>
      <c r="BM63" s="116">
        <f t="shared" si="124"/>
        <v>203437.5</v>
      </c>
      <c r="BN63" s="116">
        <f t="shared" si="124"/>
        <v>203437.5</v>
      </c>
      <c r="BO63" s="116">
        <f t="shared" si="124"/>
        <v>203437.5</v>
      </c>
      <c r="BP63" s="116">
        <f t="shared" si="124"/>
        <v>203437.5</v>
      </c>
      <c r="BQ63" s="116">
        <f t="shared" si="124"/>
        <v>203437.5</v>
      </c>
      <c r="BR63" s="116">
        <f t="shared" si="124"/>
        <v>203437.5</v>
      </c>
      <c r="BS63" s="116">
        <f t="shared" si="124"/>
        <v>203437.5</v>
      </c>
      <c r="BT63" s="116">
        <f t="shared" si="124"/>
        <v>203437.5</v>
      </c>
      <c r="BU63" s="116">
        <f t="shared" si="124"/>
        <v>203437.5</v>
      </c>
      <c r="BV63" s="116">
        <f t="shared" si="124"/>
        <v>203437.5</v>
      </c>
      <c r="BW63" s="116">
        <f t="shared" si="124"/>
        <v>203437.5</v>
      </c>
      <c r="BX63" s="116">
        <f t="shared" si="124"/>
        <v>243337.5</v>
      </c>
      <c r="BY63" s="116">
        <f t="shared" si="124"/>
        <v>243337.5</v>
      </c>
      <c r="BZ63" s="116">
        <f t="shared" si="124"/>
        <v>243337.5</v>
      </c>
      <c r="CA63" s="116">
        <f t="shared" si="124"/>
        <v>243337.5</v>
      </c>
      <c r="CB63" s="116">
        <f t="shared" si="124"/>
        <v>243337.5</v>
      </c>
      <c r="CC63" s="116">
        <f t="shared" si="124"/>
        <v>243337.5</v>
      </c>
      <c r="CD63" s="116">
        <f t="shared" si="124"/>
        <v>243337.5</v>
      </c>
      <c r="CE63" s="116">
        <f t="shared" si="124"/>
        <v>243337.5</v>
      </c>
      <c r="CF63" s="116">
        <f t="shared" si="124"/>
        <v>243337.5</v>
      </c>
      <c r="CG63" s="116">
        <f t="shared" si="124"/>
        <v>243337.5</v>
      </c>
      <c r="CH63" s="116">
        <f t="shared" si="124"/>
        <v>243337.5</v>
      </c>
      <c r="CI63" s="119">
        <f t="shared" si="124"/>
        <v>243337.5</v>
      </c>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row>
    <row r="64" spans="1:114" s="26" customFormat="1" ht="12.75" customHeight="1">
      <c r="A64" s="211" t="s">
        <v>407</v>
      </c>
      <c r="B64" s="32"/>
      <c r="E64" s="246"/>
      <c r="F64" s="111"/>
      <c r="G64" s="23"/>
      <c r="H64" s="23"/>
      <c r="I64" s="23"/>
      <c r="J64" s="246"/>
      <c r="K64" s="158">
        <f>K63*B6</f>
        <v>231250</v>
      </c>
      <c r="L64" s="153">
        <f>L63*C6</f>
        <v>610312.5</v>
      </c>
      <c r="M64" s="153">
        <f>M63*D6</f>
        <v>730012.5</v>
      </c>
      <c r="N64" s="246"/>
      <c r="AZ64" s="23">
        <f>AZ63*$B$6</f>
        <v>0</v>
      </c>
      <c r="BA64" s="23">
        <f>BA63*$B$6</f>
        <v>0</v>
      </c>
      <c r="BB64" s="23">
        <f>BB63*$B$6</f>
        <v>0</v>
      </c>
      <c r="BC64" s="23">
        <f>BC63*$B$6</f>
        <v>4687.5</v>
      </c>
      <c r="BD64" s="23">
        <f aca="true" t="shared" si="125" ref="BD64:BK64">BD63*$B$6</f>
        <v>9375</v>
      </c>
      <c r="BE64" s="23">
        <f t="shared" si="125"/>
        <v>15625</v>
      </c>
      <c r="BF64" s="23">
        <f t="shared" si="125"/>
        <v>21875</v>
      </c>
      <c r="BG64" s="23">
        <f t="shared" si="125"/>
        <v>28125</v>
      </c>
      <c r="BH64" s="23">
        <f t="shared" si="125"/>
        <v>32812.5</v>
      </c>
      <c r="BI64" s="23">
        <f t="shared" si="125"/>
        <v>37500</v>
      </c>
      <c r="BJ64" s="23">
        <f t="shared" si="125"/>
        <v>40625</v>
      </c>
      <c r="BK64" s="23">
        <f t="shared" si="125"/>
        <v>40625</v>
      </c>
      <c r="BL64" s="23">
        <f aca="true" t="shared" si="126" ref="BL64:BW64">BL63*$C$6</f>
        <v>50859.375</v>
      </c>
      <c r="BM64" s="23">
        <f t="shared" si="126"/>
        <v>50859.375</v>
      </c>
      <c r="BN64" s="23">
        <f t="shared" si="126"/>
        <v>50859.375</v>
      </c>
      <c r="BO64" s="23">
        <f t="shared" si="126"/>
        <v>50859.375</v>
      </c>
      <c r="BP64" s="23">
        <f t="shared" si="126"/>
        <v>50859.375</v>
      </c>
      <c r="BQ64" s="23">
        <f t="shared" si="126"/>
        <v>50859.375</v>
      </c>
      <c r="BR64" s="23">
        <f t="shared" si="126"/>
        <v>50859.375</v>
      </c>
      <c r="BS64" s="23">
        <f t="shared" si="126"/>
        <v>50859.375</v>
      </c>
      <c r="BT64" s="23">
        <f t="shared" si="126"/>
        <v>50859.375</v>
      </c>
      <c r="BU64" s="23">
        <f t="shared" si="126"/>
        <v>50859.375</v>
      </c>
      <c r="BV64" s="23">
        <f t="shared" si="126"/>
        <v>50859.375</v>
      </c>
      <c r="BW64" s="23">
        <f t="shared" si="126"/>
        <v>50859.375</v>
      </c>
      <c r="BX64" s="23">
        <f aca="true" t="shared" si="127" ref="BX64:CI64">BX63*$D$6</f>
        <v>60834.375</v>
      </c>
      <c r="BY64" s="23">
        <f t="shared" si="127"/>
        <v>60834.375</v>
      </c>
      <c r="BZ64" s="23">
        <f t="shared" si="127"/>
        <v>60834.375</v>
      </c>
      <c r="CA64" s="23">
        <f t="shared" si="127"/>
        <v>60834.375</v>
      </c>
      <c r="CB64" s="23">
        <f t="shared" si="127"/>
        <v>60834.375</v>
      </c>
      <c r="CC64" s="23">
        <f t="shared" si="127"/>
        <v>60834.375</v>
      </c>
      <c r="CD64" s="23">
        <f t="shared" si="127"/>
        <v>60834.375</v>
      </c>
      <c r="CE64" s="23">
        <f t="shared" si="127"/>
        <v>60834.375</v>
      </c>
      <c r="CF64" s="23">
        <f t="shared" si="127"/>
        <v>60834.375</v>
      </c>
      <c r="CG64" s="23">
        <f t="shared" si="127"/>
        <v>60834.375</v>
      </c>
      <c r="CH64" s="23">
        <f t="shared" si="127"/>
        <v>60834.375</v>
      </c>
      <c r="CI64" s="112">
        <f t="shared" si="127"/>
        <v>60834.375</v>
      </c>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row>
    <row r="65" spans="1:114" s="26" customFormat="1" ht="12.75" customHeight="1">
      <c r="A65" s="211" t="s">
        <v>327</v>
      </c>
      <c r="B65" s="32"/>
      <c r="E65" s="246"/>
      <c r="F65" s="111"/>
      <c r="G65" s="23"/>
      <c r="H65" s="23"/>
      <c r="I65" s="23"/>
      <c r="J65" s="246"/>
      <c r="K65" s="158">
        <f>K63+K64</f>
        <v>1156250</v>
      </c>
      <c r="L65" s="153">
        <f>L63+L64</f>
        <v>3051562.5</v>
      </c>
      <c r="M65" s="153">
        <f>M63+M64</f>
        <v>3650062.5</v>
      </c>
      <c r="N65" s="246"/>
      <c r="AZ65" s="23">
        <f>AZ63+AZ64</f>
        <v>0</v>
      </c>
      <c r="BA65" s="23">
        <f aca="true" t="shared" si="128" ref="BA65:CI65">BA63+BA64</f>
        <v>0</v>
      </c>
      <c r="BB65" s="23">
        <f t="shared" si="128"/>
        <v>0</v>
      </c>
      <c r="BC65" s="23">
        <f t="shared" si="128"/>
        <v>23437.5</v>
      </c>
      <c r="BD65" s="23">
        <f t="shared" si="128"/>
        <v>46875</v>
      </c>
      <c r="BE65" s="23">
        <f t="shared" si="128"/>
        <v>78125</v>
      </c>
      <c r="BF65" s="23">
        <f t="shared" si="128"/>
        <v>109375</v>
      </c>
      <c r="BG65" s="23">
        <f t="shared" si="128"/>
        <v>140625</v>
      </c>
      <c r="BH65" s="23">
        <f t="shared" si="128"/>
        <v>164062.5</v>
      </c>
      <c r="BI65" s="23">
        <f t="shared" si="128"/>
        <v>187500</v>
      </c>
      <c r="BJ65" s="23">
        <f t="shared" si="128"/>
        <v>203125</v>
      </c>
      <c r="BK65" s="23">
        <f t="shared" si="128"/>
        <v>203125</v>
      </c>
      <c r="BL65" s="23">
        <f t="shared" si="128"/>
        <v>254296.875</v>
      </c>
      <c r="BM65" s="23">
        <f t="shared" si="128"/>
        <v>254296.875</v>
      </c>
      <c r="BN65" s="23">
        <f t="shared" si="128"/>
        <v>254296.875</v>
      </c>
      <c r="BO65" s="23">
        <f t="shared" si="128"/>
        <v>254296.875</v>
      </c>
      <c r="BP65" s="23">
        <f t="shared" si="128"/>
        <v>254296.875</v>
      </c>
      <c r="BQ65" s="23">
        <f t="shared" si="128"/>
        <v>254296.875</v>
      </c>
      <c r="BR65" s="23">
        <f t="shared" si="128"/>
        <v>254296.875</v>
      </c>
      <c r="BS65" s="23">
        <f t="shared" si="128"/>
        <v>254296.875</v>
      </c>
      <c r="BT65" s="23">
        <f t="shared" si="128"/>
        <v>254296.875</v>
      </c>
      <c r="BU65" s="23">
        <f t="shared" si="128"/>
        <v>254296.875</v>
      </c>
      <c r="BV65" s="23">
        <f t="shared" si="128"/>
        <v>254296.875</v>
      </c>
      <c r="BW65" s="23">
        <f t="shared" si="128"/>
        <v>254296.875</v>
      </c>
      <c r="BX65" s="23">
        <f t="shared" si="128"/>
        <v>304171.875</v>
      </c>
      <c r="BY65" s="23">
        <f t="shared" si="128"/>
        <v>304171.875</v>
      </c>
      <c r="BZ65" s="23">
        <f t="shared" si="128"/>
        <v>304171.875</v>
      </c>
      <c r="CA65" s="23">
        <f t="shared" si="128"/>
        <v>304171.875</v>
      </c>
      <c r="CB65" s="23">
        <f t="shared" si="128"/>
        <v>304171.875</v>
      </c>
      <c r="CC65" s="23">
        <f t="shared" si="128"/>
        <v>304171.875</v>
      </c>
      <c r="CD65" s="23">
        <f t="shared" si="128"/>
        <v>304171.875</v>
      </c>
      <c r="CE65" s="23">
        <f t="shared" si="128"/>
        <v>304171.875</v>
      </c>
      <c r="CF65" s="23">
        <f t="shared" si="128"/>
        <v>304171.875</v>
      </c>
      <c r="CG65" s="23">
        <f t="shared" si="128"/>
        <v>304171.875</v>
      </c>
      <c r="CH65" s="23">
        <f t="shared" si="128"/>
        <v>304171.875</v>
      </c>
      <c r="CI65" s="112">
        <f t="shared" si="128"/>
        <v>304171.875</v>
      </c>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row>
    <row r="66" spans="1:87" ht="12.75" customHeight="1">
      <c r="A66" s="32"/>
      <c r="B66" s="32"/>
      <c r="C66" s="26"/>
      <c r="D66" s="26"/>
      <c r="E66" s="246"/>
      <c r="F66" s="111"/>
      <c r="G66" s="23"/>
      <c r="H66" s="23"/>
      <c r="I66" s="23"/>
      <c r="J66" s="246"/>
      <c r="K66" s="32"/>
      <c r="L66" s="26"/>
      <c r="M66" s="26"/>
      <c r="N66" s="24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112"/>
    </row>
    <row r="67" spans="1:87" ht="12.75" customHeight="1">
      <c r="A67" s="162" t="s">
        <v>242</v>
      </c>
      <c r="B67" s="32"/>
      <c r="C67" s="26"/>
      <c r="D67" s="26"/>
      <c r="E67" s="246"/>
      <c r="F67" s="111"/>
      <c r="G67" s="23"/>
      <c r="H67" s="23"/>
      <c r="I67" s="23"/>
      <c r="J67" s="246"/>
      <c r="K67" s="32"/>
      <c r="L67" s="26"/>
      <c r="M67" s="26"/>
      <c r="N67" s="24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112"/>
    </row>
    <row r="68" spans="1:87" s="26" customFormat="1" ht="12.75" customHeight="1">
      <c r="A68" s="32" t="s">
        <v>239</v>
      </c>
      <c r="B68" s="211">
        <f>Z68</f>
        <v>1</v>
      </c>
      <c r="C68" s="235">
        <v>1</v>
      </c>
      <c r="D68" s="235">
        <v>1</v>
      </c>
      <c r="E68" s="246"/>
      <c r="F68" s="238">
        <v>75000</v>
      </c>
      <c r="G68" s="23">
        <f>F68</f>
        <v>75000</v>
      </c>
      <c r="H68" s="23">
        <f>G68*(1+$C$4)</f>
        <v>78750</v>
      </c>
      <c r="I68" s="23">
        <f>H68*(1+$D$5)</f>
        <v>81112.5</v>
      </c>
      <c r="J68" s="246"/>
      <c r="K68" s="158">
        <f>SUM(AZ68:BK68)</f>
        <v>75000</v>
      </c>
      <c r="L68" s="153">
        <f>SUM(BL68:BW68)</f>
        <v>78750</v>
      </c>
      <c r="M68" s="153">
        <f>SUM(BX68:CI68)</f>
        <v>81112.5</v>
      </c>
      <c r="N68" s="246"/>
      <c r="O68" s="26">
        <v>1</v>
      </c>
      <c r="P68" s="26">
        <v>1</v>
      </c>
      <c r="Q68" s="26">
        <v>1</v>
      </c>
      <c r="R68" s="26">
        <v>1</v>
      </c>
      <c r="S68" s="26">
        <v>1</v>
      </c>
      <c r="T68" s="26">
        <v>1</v>
      </c>
      <c r="U68" s="26">
        <v>1</v>
      </c>
      <c r="V68" s="26">
        <v>1</v>
      </c>
      <c r="W68" s="26">
        <v>1</v>
      </c>
      <c r="X68" s="26">
        <v>1</v>
      </c>
      <c r="Y68" s="26">
        <v>1</v>
      </c>
      <c r="Z68" s="26">
        <v>1</v>
      </c>
      <c r="AA68" s="26">
        <f aca="true" t="shared" si="129" ref="AA68:AL68">$C$68</f>
        <v>1</v>
      </c>
      <c r="AB68" s="26">
        <f t="shared" si="129"/>
        <v>1</v>
      </c>
      <c r="AC68" s="26">
        <f t="shared" si="129"/>
        <v>1</v>
      </c>
      <c r="AD68" s="26">
        <f t="shared" si="129"/>
        <v>1</v>
      </c>
      <c r="AE68" s="26">
        <f t="shared" si="129"/>
        <v>1</v>
      </c>
      <c r="AF68" s="26">
        <f t="shared" si="129"/>
        <v>1</v>
      </c>
      <c r="AG68" s="26">
        <f t="shared" si="129"/>
        <v>1</v>
      </c>
      <c r="AH68" s="26">
        <f t="shared" si="129"/>
        <v>1</v>
      </c>
      <c r="AI68" s="26">
        <f t="shared" si="129"/>
        <v>1</v>
      </c>
      <c r="AJ68" s="26">
        <f t="shared" si="129"/>
        <v>1</v>
      </c>
      <c r="AK68" s="26">
        <f t="shared" si="129"/>
        <v>1</v>
      </c>
      <c r="AL68" s="26">
        <f t="shared" si="129"/>
        <v>1</v>
      </c>
      <c r="AM68" s="26">
        <f aca="true" t="shared" si="130" ref="AM68:AX68">$D$68</f>
        <v>1</v>
      </c>
      <c r="AN68" s="26">
        <f t="shared" si="130"/>
        <v>1</v>
      </c>
      <c r="AO68" s="26">
        <f t="shared" si="130"/>
        <v>1</v>
      </c>
      <c r="AP68" s="26">
        <f t="shared" si="130"/>
        <v>1</v>
      </c>
      <c r="AQ68" s="26">
        <f t="shared" si="130"/>
        <v>1</v>
      </c>
      <c r="AR68" s="26">
        <f t="shared" si="130"/>
        <v>1</v>
      </c>
      <c r="AS68" s="26">
        <f t="shared" si="130"/>
        <v>1</v>
      </c>
      <c r="AT68" s="26">
        <f t="shared" si="130"/>
        <v>1</v>
      </c>
      <c r="AU68" s="26">
        <f t="shared" si="130"/>
        <v>1</v>
      </c>
      <c r="AV68" s="26">
        <f t="shared" si="130"/>
        <v>1</v>
      </c>
      <c r="AW68" s="26">
        <f t="shared" si="130"/>
        <v>1</v>
      </c>
      <c r="AX68" s="26">
        <f t="shared" si="130"/>
        <v>1</v>
      </c>
      <c r="AZ68" s="23">
        <f>($G$68/12)*O68</f>
        <v>6250</v>
      </c>
      <c r="BA68" s="23">
        <f>($G$68/12)*P68</f>
        <v>6250</v>
      </c>
      <c r="BB68" s="23">
        <f>($G$68/12)*Q68</f>
        <v>6250</v>
      </c>
      <c r="BC68" s="23">
        <f>($G$68/12)*R68</f>
        <v>6250</v>
      </c>
      <c r="BD68" s="23">
        <f aca="true" t="shared" si="131" ref="BD68:BK68">($G$68/12)*S68</f>
        <v>6250</v>
      </c>
      <c r="BE68" s="23">
        <f t="shared" si="131"/>
        <v>6250</v>
      </c>
      <c r="BF68" s="23">
        <f t="shared" si="131"/>
        <v>6250</v>
      </c>
      <c r="BG68" s="23">
        <f t="shared" si="131"/>
        <v>6250</v>
      </c>
      <c r="BH68" s="23">
        <f t="shared" si="131"/>
        <v>6250</v>
      </c>
      <c r="BI68" s="23">
        <f t="shared" si="131"/>
        <v>6250</v>
      </c>
      <c r="BJ68" s="23">
        <f t="shared" si="131"/>
        <v>6250</v>
      </c>
      <c r="BK68" s="23">
        <f t="shared" si="131"/>
        <v>6250</v>
      </c>
      <c r="BL68" s="23">
        <f aca="true" t="shared" si="132" ref="BL68:BW68">($H$68/12)*AA68</f>
        <v>6562.5</v>
      </c>
      <c r="BM68" s="23">
        <f t="shared" si="132"/>
        <v>6562.5</v>
      </c>
      <c r="BN68" s="23">
        <f t="shared" si="132"/>
        <v>6562.5</v>
      </c>
      <c r="BO68" s="23">
        <f t="shared" si="132"/>
        <v>6562.5</v>
      </c>
      <c r="BP68" s="23">
        <f t="shared" si="132"/>
        <v>6562.5</v>
      </c>
      <c r="BQ68" s="23">
        <f t="shared" si="132"/>
        <v>6562.5</v>
      </c>
      <c r="BR68" s="23">
        <f t="shared" si="132"/>
        <v>6562.5</v>
      </c>
      <c r="BS68" s="23">
        <f t="shared" si="132"/>
        <v>6562.5</v>
      </c>
      <c r="BT68" s="23">
        <f t="shared" si="132"/>
        <v>6562.5</v>
      </c>
      <c r="BU68" s="23">
        <f t="shared" si="132"/>
        <v>6562.5</v>
      </c>
      <c r="BV68" s="23">
        <f t="shared" si="132"/>
        <v>6562.5</v>
      </c>
      <c r="BW68" s="23">
        <f t="shared" si="132"/>
        <v>6562.5</v>
      </c>
      <c r="BX68" s="23">
        <f aca="true" t="shared" si="133" ref="BX68:CI68">($I$68/12)*AM68</f>
        <v>6759.375</v>
      </c>
      <c r="BY68" s="23">
        <f t="shared" si="133"/>
        <v>6759.375</v>
      </c>
      <c r="BZ68" s="23">
        <f t="shared" si="133"/>
        <v>6759.375</v>
      </c>
      <c r="CA68" s="23">
        <f t="shared" si="133"/>
        <v>6759.375</v>
      </c>
      <c r="CB68" s="23">
        <f t="shared" si="133"/>
        <v>6759.375</v>
      </c>
      <c r="CC68" s="23">
        <f t="shared" si="133"/>
        <v>6759.375</v>
      </c>
      <c r="CD68" s="23">
        <f t="shared" si="133"/>
        <v>6759.375</v>
      </c>
      <c r="CE68" s="23">
        <f t="shared" si="133"/>
        <v>6759.375</v>
      </c>
      <c r="CF68" s="23">
        <f t="shared" si="133"/>
        <v>6759.375</v>
      </c>
      <c r="CG68" s="23">
        <f t="shared" si="133"/>
        <v>6759.375</v>
      </c>
      <c r="CH68" s="23">
        <f t="shared" si="133"/>
        <v>6759.375</v>
      </c>
      <c r="CI68" s="112">
        <f t="shared" si="133"/>
        <v>6759.375</v>
      </c>
    </row>
    <row r="69" spans="1:87" s="52" customFormat="1" ht="12.75" customHeight="1">
      <c r="A69" s="33" t="s">
        <v>129</v>
      </c>
      <c r="B69" s="33">
        <f>Z69</f>
        <v>5</v>
      </c>
      <c r="C69" s="237">
        <v>7</v>
      </c>
      <c r="D69" s="237">
        <v>9</v>
      </c>
      <c r="E69" s="248"/>
      <c r="F69" s="239">
        <v>75000</v>
      </c>
      <c r="G69" s="116">
        <f>F69</f>
        <v>75000</v>
      </c>
      <c r="H69" s="116">
        <f>G69*(1+$C$4)</f>
        <v>78750</v>
      </c>
      <c r="I69" s="116">
        <f>H69*(1+$D$5)</f>
        <v>81112.5</v>
      </c>
      <c r="J69" s="248"/>
      <c r="K69" s="214">
        <f>SUM(AZ69:BK69)</f>
        <v>300000</v>
      </c>
      <c r="L69" s="215">
        <f>SUM(BL69:BW69)</f>
        <v>551250</v>
      </c>
      <c r="M69" s="215">
        <f>SUM(BX69:CI69)</f>
        <v>730012.5</v>
      </c>
      <c r="N69" s="248"/>
      <c r="O69" s="52">
        <v>0</v>
      </c>
      <c r="P69" s="52">
        <v>1</v>
      </c>
      <c r="Q69" s="52">
        <v>2</v>
      </c>
      <c r="R69" s="52">
        <v>5</v>
      </c>
      <c r="S69" s="52">
        <v>5</v>
      </c>
      <c r="T69" s="52">
        <v>5</v>
      </c>
      <c r="U69" s="52">
        <v>5</v>
      </c>
      <c r="V69" s="52">
        <v>5</v>
      </c>
      <c r="W69" s="52">
        <v>5</v>
      </c>
      <c r="X69" s="52">
        <v>5</v>
      </c>
      <c r="Y69" s="52">
        <v>5</v>
      </c>
      <c r="Z69" s="52">
        <v>5</v>
      </c>
      <c r="AA69" s="52">
        <f>$C$69</f>
        <v>7</v>
      </c>
      <c r="AB69" s="52">
        <f aca="true" t="shared" si="134" ref="AB69:AL69">$C$69</f>
        <v>7</v>
      </c>
      <c r="AC69" s="52">
        <f t="shared" si="134"/>
        <v>7</v>
      </c>
      <c r="AD69" s="52">
        <f t="shared" si="134"/>
        <v>7</v>
      </c>
      <c r="AE69" s="52">
        <f t="shared" si="134"/>
        <v>7</v>
      </c>
      <c r="AF69" s="52">
        <f t="shared" si="134"/>
        <v>7</v>
      </c>
      <c r="AG69" s="52">
        <f t="shared" si="134"/>
        <v>7</v>
      </c>
      <c r="AH69" s="52">
        <f t="shared" si="134"/>
        <v>7</v>
      </c>
      <c r="AI69" s="52">
        <f t="shared" si="134"/>
        <v>7</v>
      </c>
      <c r="AJ69" s="52">
        <f t="shared" si="134"/>
        <v>7</v>
      </c>
      <c r="AK69" s="52">
        <f t="shared" si="134"/>
        <v>7</v>
      </c>
      <c r="AL69" s="52">
        <f t="shared" si="134"/>
        <v>7</v>
      </c>
      <c r="AM69" s="52">
        <f>$D$69</f>
        <v>9</v>
      </c>
      <c r="AN69" s="52">
        <f aca="true" t="shared" si="135" ref="AN69:AX69">$D$69</f>
        <v>9</v>
      </c>
      <c r="AO69" s="52">
        <f t="shared" si="135"/>
        <v>9</v>
      </c>
      <c r="AP69" s="52">
        <f t="shared" si="135"/>
        <v>9</v>
      </c>
      <c r="AQ69" s="52">
        <f t="shared" si="135"/>
        <v>9</v>
      </c>
      <c r="AR69" s="52">
        <f t="shared" si="135"/>
        <v>9</v>
      </c>
      <c r="AS69" s="52">
        <f t="shared" si="135"/>
        <v>9</v>
      </c>
      <c r="AT69" s="52">
        <f t="shared" si="135"/>
        <v>9</v>
      </c>
      <c r="AU69" s="52">
        <f t="shared" si="135"/>
        <v>9</v>
      </c>
      <c r="AV69" s="52">
        <f t="shared" si="135"/>
        <v>9</v>
      </c>
      <c r="AW69" s="52">
        <f t="shared" si="135"/>
        <v>9</v>
      </c>
      <c r="AX69" s="52">
        <f t="shared" si="135"/>
        <v>9</v>
      </c>
      <c r="AZ69" s="116">
        <f>($G$69/12)*O69</f>
        <v>0</v>
      </c>
      <c r="BA69" s="116">
        <f aca="true" t="shared" si="136" ref="BA69:BK69">($G$69/12)*P69</f>
        <v>6250</v>
      </c>
      <c r="BB69" s="116">
        <f t="shared" si="136"/>
        <v>12500</v>
      </c>
      <c r="BC69" s="116">
        <f t="shared" si="136"/>
        <v>31250</v>
      </c>
      <c r="BD69" s="116">
        <f t="shared" si="136"/>
        <v>31250</v>
      </c>
      <c r="BE69" s="116">
        <f t="shared" si="136"/>
        <v>31250</v>
      </c>
      <c r="BF69" s="116">
        <f t="shared" si="136"/>
        <v>31250</v>
      </c>
      <c r="BG69" s="116">
        <f t="shared" si="136"/>
        <v>31250</v>
      </c>
      <c r="BH69" s="116">
        <f t="shared" si="136"/>
        <v>31250</v>
      </c>
      <c r="BI69" s="116">
        <f t="shared" si="136"/>
        <v>31250</v>
      </c>
      <c r="BJ69" s="116">
        <f t="shared" si="136"/>
        <v>31250</v>
      </c>
      <c r="BK69" s="116">
        <f t="shared" si="136"/>
        <v>31250</v>
      </c>
      <c r="BL69" s="116">
        <f>($H$69/12)*AA69</f>
        <v>45937.5</v>
      </c>
      <c r="BM69" s="116">
        <f aca="true" t="shared" si="137" ref="BM69:BW69">($H$69/12)*AB69</f>
        <v>45937.5</v>
      </c>
      <c r="BN69" s="116">
        <f t="shared" si="137"/>
        <v>45937.5</v>
      </c>
      <c r="BO69" s="116">
        <f t="shared" si="137"/>
        <v>45937.5</v>
      </c>
      <c r="BP69" s="116">
        <f t="shared" si="137"/>
        <v>45937.5</v>
      </c>
      <c r="BQ69" s="116">
        <f t="shared" si="137"/>
        <v>45937.5</v>
      </c>
      <c r="BR69" s="116">
        <f t="shared" si="137"/>
        <v>45937.5</v>
      </c>
      <c r="BS69" s="116">
        <f t="shared" si="137"/>
        <v>45937.5</v>
      </c>
      <c r="BT69" s="116">
        <f t="shared" si="137"/>
        <v>45937.5</v>
      </c>
      <c r="BU69" s="116">
        <f t="shared" si="137"/>
        <v>45937.5</v>
      </c>
      <c r="BV69" s="116">
        <f t="shared" si="137"/>
        <v>45937.5</v>
      </c>
      <c r="BW69" s="116">
        <f t="shared" si="137"/>
        <v>45937.5</v>
      </c>
      <c r="BX69" s="116">
        <f>($I$69/12)*AM69</f>
        <v>60834.375</v>
      </c>
      <c r="BY69" s="116">
        <f aca="true" t="shared" si="138" ref="BY69:CI69">($I$69/12)*AN69</f>
        <v>60834.375</v>
      </c>
      <c r="BZ69" s="116">
        <f t="shared" si="138"/>
        <v>60834.375</v>
      </c>
      <c r="CA69" s="116">
        <f t="shared" si="138"/>
        <v>60834.375</v>
      </c>
      <c r="CB69" s="116">
        <f t="shared" si="138"/>
        <v>60834.375</v>
      </c>
      <c r="CC69" s="116">
        <f t="shared" si="138"/>
        <v>60834.375</v>
      </c>
      <c r="CD69" s="116">
        <f t="shared" si="138"/>
        <v>60834.375</v>
      </c>
      <c r="CE69" s="116">
        <f t="shared" si="138"/>
        <v>60834.375</v>
      </c>
      <c r="CF69" s="116">
        <f t="shared" si="138"/>
        <v>60834.375</v>
      </c>
      <c r="CG69" s="116">
        <f t="shared" si="138"/>
        <v>60834.375</v>
      </c>
      <c r="CH69" s="116">
        <f t="shared" si="138"/>
        <v>60834.375</v>
      </c>
      <c r="CI69" s="119">
        <f t="shared" si="138"/>
        <v>60834.375</v>
      </c>
    </row>
    <row r="70" spans="1:114" s="52" customFormat="1" ht="12.75" customHeight="1">
      <c r="A70" s="38" t="s">
        <v>193</v>
      </c>
      <c r="B70" s="38">
        <f>SUM(B68:B69)</f>
        <v>6</v>
      </c>
      <c r="C70" s="52">
        <f>SUM(C68:C69)</f>
        <v>8</v>
      </c>
      <c r="D70" s="52">
        <f>SUM(D68:D69)</f>
        <v>10</v>
      </c>
      <c r="E70" s="248"/>
      <c r="F70" s="118"/>
      <c r="G70" s="116"/>
      <c r="H70" s="116"/>
      <c r="I70" s="116"/>
      <c r="J70" s="248"/>
      <c r="K70" s="214">
        <f>SUM(K68:K69)</f>
        <v>375000</v>
      </c>
      <c r="L70" s="215">
        <f>SUM(L68:L69)</f>
        <v>630000</v>
      </c>
      <c r="M70" s="215">
        <f>SUM(M68:M69)</f>
        <v>811125</v>
      </c>
      <c r="N70" s="248"/>
      <c r="O70" s="52">
        <f aca="true" t="shared" si="139" ref="O70:AW70">SUM(O68:O69)</f>
        <v>1</v>
      </c>
      <c r="P70" s="52">
        <f t="shared" si="139"/>
        <v>2</v>
      </c>
      <c r="Q70" s="52">
        <f t="shared" si="139"/>
        <v>3</v>
      </c>
      <c r="R70" s="52">
        <f t="shared" si="139"/>
        <v>6</v>
      </c>
      <c r="S70" s="52">
        <f t="shared" si="139"/>
        <v>6</v>
      </c>
      <c r="T70" s="52">
        <f t="shared" si="139"/>
        <v>6</v>
      </c>
      <c r="U70" s="52">
        <f t="shared" si="139"/>
        <v>6</v>
      </c>
      <c r="V70" s="52">
        <f t="shared" si="139"/>
        <v>6</v>
      </c>
      <c r="W70" s="52">
        <f t="shared" si="139"/>
        <v>6</v>
      </c>
      <c r="X70" s="52">
        <f t="shared" si="139"/>
        <v>6</v>
      </c>
      <c r="Y70" s="52">
        <f t="shared" si="139"/>
        <v>6</v>
      </c>
      <c r="Z70" s="52">
        <f t="shared" si="139"/>
        <v>6</v>
      </c>
      <c r="AA70" s="52">
        <f t="shared" si="139"/>
        <v>8</v>
      </c>
      <c r="AB70" s="52">
        <f t="shared" si="139"/>
        <v>8</v>
      </c>
      <c r="AC70" s="52">
        <f t="shared" si="139"/>
        <v>8</v>
      </c>
      <c r="AD70" s="52">
        <f t="shared" si="139"/>
        <v>8</v>
      </c>
      <c r="AE70" s="52">
        <f t="shared" si="139"/>
        <v>8</v>
      </c>
      <c r="AF70" s="52">
        <f t="shared" si="139"/>
        <v>8</v>
      </c>
      <c r="AG70" s="52">
        <f t="shared" si="139"/>
        <v>8</v>
      </c>
      <c r="AH70" s="52">
        <f t="shared" si="139"/>
        <v>8</v>
      </c>
      <c r="AI70" s="52">
        <f t="shared" si="139"/>
        <v>8</v>
      </c>
      <c r="AJ70" s="52">
        <f t="shared" si="139"/>
        <v>8</v>
      </c>
      <c r="AK70" s="52">
        <f t="shared" si="139"/>
        <v>8</v>
      </c>
      <c r="AL70" s="52">
        <f t="shared" si="139"/>
        <v>8</v>
      </c>
      <c r="AM70" s="52">
        <f t="shared" si="139"/>
        <v>10</v>
      </c>
      <c r="AN70" s="52">
        <f t="shared" si="139"/>
        <v>10</v>
      </c>
      <c r="AO70" s="52">
        <f t="shared" si="139"/>
        <v>10</v>
      </c>
      <c r="AP70" s="52">
        <f t="shared" si="139"/>
        <v>10</v>
      </c>
      <c r="AQ70" s="52">
        <f t="shared" si="139"/>
        <v>10</v>
      </c>
      <c r="AR70" s="52">
        <f t="shared" si="139"/>
        <v>10</v>
      </c>
      <c r="AS70" s="52">
        <f t="shared" si="139"/>
        <v>10</v>
      </c>
      <c r="AT70" s="52">
        <f t="shared" si="139"/>
        <v>10</v>
      </c>
      <c r="AU70" s="52">
        <f t="shared" si="139"/>
        <v>10</v>
      </c>
      <c r="AV70" s="52">
        <f t="shared" si="139"/>
        <v>10</v>
      </c>
      <c r="AW70" s="52">
        <f t="shared" si="139"/>
        <v>10</v>
      </c>
      <c r="AX70" s="52">
        <f>SUM(AX68:AX69)</f>
        <v>10</v>
      </c>
      <c r="AZ70" s="116">
        <f>SUM(AZ68:AZ69)</f>
        <v>6250</v>
      </c>
      <c r="BA70" s="116">
        <f aca="true" t="shared" si="140" ref="BA70:CI70">SUM(BA68:BA69)</f>
        <v>12500</v>
      </c>
      <c r="BB70" s="116">
        <f t="shared" si="140"/>
        <v>18750</v>
      </c>
      <c r="BC70" s="116">
        <f t="shared" si="140"/>
        <v>37500</v>
      </c>
      <c r="BD70" s="116">
        <f t="shared" si="140"/>
        <v>37500</v>
      </c>
      <c r="BE70" s="116">
        <f t="shared" si="140"/>
        <v>37500</v>
      </c>
      <c r="BF70" s="116">
        <f t="shared" si="140"/>
        <v>37500</v>
      </c>
      <c r="BG70" s="116">
        <f t="shared" si="140"/>
        <v>37500</v>
      </c>
      <c r="BH70" s="116">
        <f t="shared" si="140"/>
        <v>37500</v>
      </c>
      <c r="BI70" s="116">
        <f t="shared" si="140"/>
        <v>37500</v>
      </c>
      <c r="BJ70" s="116">
        <f t="shared" si="140"/>
        <v>37500</v>
      </c>
      <c r="BK70" s="116">
        <f t="shared" si="140"/>
        <v>37500</v>
      </c>
      <c r="BL70" s="116">
        <f t="shared" si="140"/>
        <v>52500</v>
      </c>
      <c r="BM70" s="116">
        <f t="shared" si="140"/>
        <v>52500</v>
      </c>
      <c r="BN70" s="116">
        <f t="shared" si="140"/>
        <v>52500</v>
      </c>
      <c r="BO70" s="116">
        <f t="shared" si="140"/>
        <v>52500</v>
      </c>
      <c r="BP70" s="116">
        <f t="shared" si="140"/>
        <v>52500</v>
      </c>
      <c r="BQ70" s="116">
        <f t="shared" si="140"/>
        <v>52500</v>
      </c>
      <c r="BR70" s="116">
        <f t="shared" si="140"/>
        <v>52500</v>
      </c>
      <c r="BS70" s="116">
        <f t="shared" si="140"/>
        <v>52500</v>
      </c>
      <c r="BT70" s="116">
        <f t="shared" si="140"/>
        <v>52500</v>
      </c>
      <c r="BU70" s="116">
        <f t="shared" si="140"/>
        <v>52500</v>
      </c>
      <c r="BV70" s="116">
        <f t="shared" si="140"/>
        <v>52500</v>
      </c>
      <c r="BW70" s="116">
        <f t="shared" si="140"/>
        <v>52500</v>
      </c>
      <c r="BX70" s="116">
        <f t="shared" si="140"/>
        <v>67593.75</v>
      </c>
      <c r="BY70" s="116">
        <f t="shared" si="140"/>
        <v>67593.75</v>
      </c>
      <c r="BZ70" s="116">
        <f t="shared" si="140"/>
        <v>67593.75</v>
      </c>
      <c r="CA70" s="116">
        <f t="shared" si="140"/>
        <v>67593.75</v>
      </c>
      <c r="CB70" s="116">
        <f t="shared" si="140"/>
        <v>67593.75</v>
      </c>
      <c r="CC70" s="116">
        <f t="shared" si="140"/>
        <v>67593.75</v>
      </c>
      <c r="CD70" s="116">
        <f t="shared" si="140"/>
        <v>67593.75</v>
      </c>
      <c r="CE70" s="116">
        <f t="shared" si="140"/>
        <v>67593.75</v>
      </c>
      <c r="CF70" s="116">
        <f t="shared" si="140"/>
        <v>67593.75</v>
      </c>
      <c r="CG70" s="116">
        <f t="shared" si="140"/>
        <v>67593.75</v>
      </c>
      <c r="CH70" s="116">
        <f t="shared" si="140"/>
        <v>67593.75</v>
      </c>
      <c r="CI70" s="119">
        <f t="shared" si="140"/>
        <v>67593.75</v>
      </c>
      <c r="CJ70" s="116"/>
      <c r="CK70" s="116"/>
      <c r="CL70" s="116"/>
      <c r="CM70" s="116"/>
      <c r="CN70" s="116"/>
      <c r="CO70" s="116"/>
      <c r="CP70" s="116"/>
      <c r="CQ70" s="116"/>
      <c r="CR70" s="116"/>
      <c r="CS70" s="116"/>
      <c r="CT70" s="116"/>
      <c r="CU70" s="116"/>
      <c r="CV70" s="116"/>
      <c r="CW70" s="116"/>
      <c r="CX70" s="116"/>
      <c r="CY70" s="116"/>
      <c r="CZ70" s="116"/>
      <c r="DA70" s="116"/>
      <c r="DB70" s="116"/>
      <c r="DC70" s="116"/>
      <c r="DD70" s="116"/>
      <c r="DE70" s="116"/>
      <c r="DF70" s="116"/>
      <c r="DG70" s="116"/>
      <c r="DH70" s="116"/>
      <c r="DI70" s="116"/>
      <c r="DJ70" s="116"/>
    </row>
    <row r="71" spans="1:87" ht="12.75" customHeight="1">
      <c r="A71" s="32" t="s">
        <v>407</v>
      </c>
      <c r="B71" s="32"/>
      <c r="C71" s="26"/>
      <c r="D71" s="26"/>
      <c r="E71" s="246"/>
      <c r="F71" s="111"/>
      <c r="G71" s="23"/>
      <c r="H71" s="23"/>
      <c r="I71" s="23"/>
      <c r="J71" s="246"/>
      <c r="K71" s="158">
        <f>K70*B6</f>
        <v>93750</v>
      </c>
      <c r="L71" s="153">
        <f>L70*C6</f>
        <v>157500</v>
      </c>
      <c r="M71" s="153">
        <f>M70*D6</f>
        <v>202781.25</v>
      </c>
      <c r="N71" s="24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3">
        <f>AZ70*$B$6</f>
        <v>1562.5</v>
      </c>
      <c r="BA71" s="23">
        <f>BA70*$B$6</f>
        <v>3125</v>
      </c>
      <c r="BB71" s="23">
        <f>BB70*$B$6</f>
        <v>4687.5</v>
      </c>
      <c r="BC71" s="23">
        <f>BC70*$B$6</f>
        <v>9375</v>
      </c>
      <c r="BD71" s="23">
        <f aca="true" t="shared" si="141" ref="BD71:BK71">BD70*$B$6</f>
        <v>9375</v>
      </c>
      <c r="BE71" s="23">
        <f t="shared" si="141"/>
        <v>9375</v>
      </c>
      <c r="BF71" s="23">
        <f t="shared" si="141"/>
        <v>9375</v>
      </c>
      <c r="BG71" s="23">
        <f t="shared" si="141"/>
        <v>9375</v>
      </c>
      <c r="BH71" s="23">
        <f t="shared" si="141"/>
        <v>9375</v>
      </c>
      <c r="BI71" s="23">
        <f t="shared" si="141"/>
        <v>9375</v>
      </c>
      <c r="BJ71" s="23">
        <f t="shared" si="141"/>
        <v>9375</v>
      </c>
      <c r="BK71" s="23">
        <f t="shared" si="141"/>
        <v>9375</v>
      </c>
      <c r="BL71" s="23">
        <f aca="true" t="shared" si="142" ref="BL71:BW71">BL70*$C$6</f>
        <v>13125</v>
      </c>
      <c r="BM71" s="23">
        <f t="shared" si="142"/>
        <v>13125</v>
      </c>
      <c r="BN71" s="23">
        <f t="shared" si="142"/>
        <v>13125</v>
      </c>
      <c r="BO71" s="23">
        <f t="shared" si="142"/>
        <v>13125</v>
      </c>
      <c r="BP71" s="23">
        <f t="shared" si="142"/>
        <v>13125</v>
      </c>
      <c r="BQ71" s="23">
        <f t="shared" si="142"/>
        <v>13125</v>
      </c>
      <c r="BR71" s="23">
        <f t="shared" si="142"/>
        <v>13125</v>
      </c>
      <c r="BS71" s="23">
        <f t="shared" si="142"/>
        <v>13125</v>
      </c>
      <c r="BT71" s="23">
        <f t="shared" si="142"/>
        <v>13125</v>
      </c>
      <c r="BU71" s="23">
        <f t="shared" si="142"/>
        <v>13125</v>
      </c>
      <c r="BV71" s="23">
        <f t="shared" si="142"/>
        <v>13125</v>
      </c>
      <c r="BW71" s="23">
        <f t="shared" si="142"/>
        <v>13125</v>
      </c>
      <c r="BX71" s="23">
        <f aca="true" t="shared" si="143" ref="BX71:CI71">BX70*$D$6</f>
        <v>16898.4375</v>
      </c>
      <c r="BY71" s="23">
        <f t="shared" si="143"/>
        <v>16898.4375</v>
      </c>
      <c r="BZ71" s="23">
        <f t="shared" si="143"/>
        <v>16898.4375</v>
      </c>
      <c r="CA71" s="23">
        <f t="shared" si="143"/>
        <v>16898.4375</v>
      </c>
      <c r="CB71" s="23">
        <f t="shared" si="143"/>
        <v>16898.4375</v>
      </c>
      <c r="CC71" s="23">
        <f t="shared" si="143"/>
        <v>16898.4375</v>
      </c>
      <c r="CD71" s="23">
        <f t="shared" si="143"/>
        <v>16898.4375</v>
      </c>
      <c r="CE71" s="23">
        <f t="shared" si="143"/>
        <v>16898.4375</v>
      </c>
      <c r="CF71" s="23">
        <f t="shared" si="143"/>
        <v>16898.4375</v>
      </c>
      <c r="CG71" s="23">
        <f t="shared" si="143"/>
        <v>16898.4375</v>
      </c>
      <c r="CH71" s="23">
        <f t="shared" si="143"/>
        <v>16898.4375</v>
      </c>
      <c r="CI71" s="112">
        <f t="shared" si="143"/>
        <v>16898.4375</v>
      </c>
    </row>
    <row r="72" spans="1:87" ht="12.75" customHeight="1">
      <c r="A72" s="32" t="s">
        <v>246</v>
      </c>
      <c r="B72" s="32"/>
      <c r="C72" s="26"/>
      <c r="D72" s="26"/>
      <c r="E72" s="246"/>
      <c r="F72" s="111"/>
      <c r="G72" s="23"/>
      <c r="H72" s="23"/>
      <c r="I72" s="23"/>
      <c r="J72" s="246"/>
      <c r="K72" s="158">
        <f>K70+K71</f>
        <v>468750</v>
      </c>
      <c r="L72" s="153">
        <f>L70+L71</f>
        <v>787500</v>
      </c>
      <c r="M72" s="153">
        <f>M70+M71</f>
        <v>1013906.25</v>
      </c>
      <c r="N72" s="24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3">
        <f>AZ70+AZ71</f>
        <v>7812.5</v>
      </c>
      <c r="BA72" s="23">
        <f aca="true" t="shared" si="144" ref="BA72:CI72">BA70+BA71</f>
        <v>15625</v>
      </c>
      <c r="BB72" s="23">
        <f t="shared" si="144"/>
        <v>23437.5</v>
      </c>
      <c r="BC72" s="23">
        <f t="shared" si="144"/>
        <v>46875</v>
      </c>
      <c r="BD72" s="23">
        <f t="shared" si="144"/>
        <v>46875</v>
      </c>
      <c r="BE72" s="23">
        <f t="shared" si="144"/>
        <v>46875</v>
      </c>
      <c r="BF72" s="23">
        <f t="shared" si="144"/>
        <v>46875</v>
      </c>
      <c r="BG72" s="23">
        <f t="shared" si="144"/>
        <v>46875</v>
      </c>
      <c r="BH72" s="23">
        <f t="shared" si="144"/>
        <v>46875</v>
      </c>
      <c r="BI72" s="23">
        <f t="shared" si="144"/>
        <v>46875</v>
      </c>
      <c r="BJ72" s="23">
        <f t="shared" si="144"/>
        <v>46875</v>
      </c>
      <c r="BK72" s="23">
        <f t="shared" si="144"/>
        <v>46875</v>
      </c>
      <c r="BL72" s="23">
        <f t="shared" si="144"/>
        <v>65625</v>
      </c>
      <c r="BM72" s="23">
        <f t="shared" si="144"/>
        <v>65625</v>
      </c>
      <c r="BN72" s="23">
        <f t="shared" si="144"/>
        <v>65625</v>
      </c>
      <c r="BO72" s="23">
        <f t="shared" si="144"/>
        <v>65625</v>
      </c>
      <c r="BP72" s="23">
        <f t="shared" si="144"/>
        <v>65625</v>
      </c>
      <c r="BQ72" s="23">
        <f t="shared" si="144"/>
        <v>65625</v>
      </c>
      <c r="BR72" s="23">
        <f t="shared" si="144"/>
        <v>65625</v>
      </c>
      <c r="BS72" s="23">
        <f t="shared" si="144"/>
        <v>65625</v>
      </c>
      <c r="BT72" s="23">
        <f t="shared" si="144"/>
        <v>65625</v>
      </c>
      <c r="BU72" s="23">
        <f t="shared" si="144"/>
        <v>65625</v>
      </c>
      <c r="BV72" s="23">
        <f t="shared" si="144"/>
        <v>65625</v>
      </c>
      <c r="BW72" s="23">
        <f t="shared" si="144"/>
        <v>65625</v>
      </c>
      <c r="BX72" s="23">
        <f t="shared" si="144"/>
        <v>84492.1875</v>
      </c>
      <c r="BY72" s="23">
        <f t="shared" si="144"/>
        <v>84492.1875</v>
      </c>
      <c r="BZ72" s="23">
        <f t="shared" si="144"/>
        <v>84492.1875</v>
      </c>
      <c r="CA72" s="23">
        <f t="shared" si="144"/>
        <v>84492.1875</v>
      </c>
      <c r="CB72" s="23">
        <f t="shared" si="144"/>
        <v>84492.1875</v>
      </c>
      <c r="CC72" s="23">
        <f t="shared" si="144"/>
        <v>84492.1875</v>
      </c>
      <c r="CD72" s="23">
        <f t="shared" si="144"/>
        <v>84492.1875</v>
      </c>
      <c r="CE72" s="23">
        <f t="shared" si="144"/>
        <v>84492.1875</v>
      </c>
      <c r="CF72" s="23">
        <f t="shared" si="144"/>
        <v>84492.1875</v>
      </c>
      <c r="CG72" s="23">
        <f t="shared" si="144"/>
        <v>84492.1875</v>
      </c>
      <c r="CH72" s="23">
        <f t="shared" si="144"/>
        <v>84492.1875</v>
      </c>
      <c r="CI72" s="112">
        <f t="shared" si="144"/>
        <v>84492.1875</v>
      </c>
    </row>
    <row r="73" spans="1:87" ht="12.75" customHeight="1">
      <c r="A73" s="32"/>
      <c r="B73" s="32"/>
      <c r="C73" s="26"/>
      <c r="D73" s="26"/>
      <c r="E73" s="246"/>
      <c r="F73" s="111"/>
      <c r="G73" s="23"/>
      <c r="H73" s="23"/>
      <c r="I73" s="23"/>
      <c r="J73" s="246"/>
      <c r="K73" s="179">
        <f>K72/'Income Statement'!B16</f>
        <v>0.41798775877705735</v>
      </c>
      <c r="L73" s="17">
        <f>L72/'Income Statement'!C16</f>
        <v>0.14688683509198003</v>
      </c>
      <c r="M73" s="17">
        <f>M72/'Income Statement'!D16</f>
        <v>0.10570826557682758</v>
      </c>
      <c r="N73" s="24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112"/>
    </row>
    <row r="74" spans="1:87" ht="12.75" customHeight="1">
      <c r="A74" s="162" t="s">
        <v>130</v>
      </c>
      <c r="B74" s="32"/>
      <c r="C74" s="26"/>
      <c r="D74" s="26"/>
      <c r="E74" s="246"/>
      <c r="F74" s="111"/>
      <c r="G74" s="23"/>
      <c r="H74" s="23"/>
      <c r="I74" s="23"/>
      <c r="J74" s="246"/>
      <c r="K74" s="32"/>
      <c r="L74" s="26"/>
      <c r="M74" s="26"/>
      <c r="N74" s="24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112"/>
    </row>
    <row r="75" spans="1:87" s="26" customFormat="1" ht="12.75" customHeight="1">
      <c r="A75" s="32" t="s">
        <v>131</v>
      </c>
      <c r="B75" s="211">
        <f>Z75</f>
        <v>1</v>
      </c>
      <c r="C75" s="235">
        <v>1</v>
      </c>
      <c r="D75" s="235">
        <v>1</v>
      </c>
      <c r="E75" s="246"/>
      <c r="F75" s="238">
        <v>75000</v>
      </c>
      <c r="G75" s="23">
        <f>F75</f>
        <v>75000</v>
      </c>
      <c r="H75" s="23">
        <f>G75*(1+$C$4)</f>
        <v>78750</v>
      </c>
      <c r="I75" s="23">
        <f>H75*(1+$D$5)</f>
        <v>81112.5</v>
      </c>
      <c r="J75" s="246"/>
      <c r="K75" s="158">
        <f>SUM(AZ75:BK75)</f>
        <v>75000</v>
      </c>
      <c r="L75" s="153">
        <f>SUM(BL75:BW75)</f>
        <v>78750</v>
      </c>
      <c r="M75" s="153">
        <f>SUM(BX75:CI75)</f>
        <v>81112.5</v>
      </c>
      <c r="N75" s="246"/>
      <c r="O75" s="26">
        <v>1</v>
      </c>
      <c r="P75" s="26">
        <v>1</v>
      </c>
      <c r="Q75" s="26">
        <v>1</v>
      </c>
      <c r="R75" s="26">
        <v>1</v>
      </c>
      <c r="S75" s="26">
        <v>1</v>
      </c>
      <c r="T75" s="26">
        <v>1</v>
      </c>
      <c r="U75" s="26">
        <v>1</v>
      </c>
      <c r="V75" s="26">
        <v>1</v>
      </c>
      <c r="W75" s="26">
        <v>1</v>
      </c>
      <c r="X75" s="26">
        <v>1</v>
      </c>
      <c r="Y75" s="26">
        <v>1</v>
      </c>
      <c r="Z75" s="26">
        <v>1</v>
      </c>
      <c r="AA75" s="26">
        <f>$C$75</f>
        <v>1</v>
      </c>
      <c r="AB75" s="26">
        <f aca="true" t="shared" si="145" ref="AB75:AL75">$C$75</f>
        <v>1</v>
      </c>
      <c r="AC75" s="26">
        <f t="shared" si="145"/>
        <v>1</v>
      </c>
      <c r="AD75" s="26">
        <f t="shared" si="145"/>
        <v>1</v>
      </c>
      <c r="AE75" s="26">
        <f t="shared" si="145"/>
        <v>1</v>
      </c>
      <c r="AF75" s="26">
        <f t="shared" si="145"/>
        <v>1</v>
      </c>
      <c r="AG75" s="26">
        <f t="shared" si="145"/>
        <v>1</v>
      </c>
      <c r="AH75" s="26">
        <f t="shared" si="145"/>
        <v>1</v>
      </c>
      <c r="AI75" s="26">
        <f t="shared" si="145"/>
        <v>1</v>
      </c>
      <c r="AJ75" s="26">
        <f t="shared" si="145"/>
        <v>1</v>
      </c>
      <c r="AK75" s="26">
        <f t="shared" si="145"/>
        <v>1</v>
      </c>
      <c r="AL75" s="26">
        <f t="shared" si="145"/>
        <v>1</v>
      </c>
      <c r="AM75" s="26">
        <f>$D$75</f>
        <v>1</v>
      </c>
      <c r="AN75" s="26">
        <f aca="true" t="shared" si="146" ref="AN75:AX75">$D$75</f>
        <v>1</v>
      </c>
      <c r="AO75" s="26">
        <f t="shared" si="146"/>
        <v>1</v>
      </c>
      <c r="AP75" s="26">
        <f t="shared" si="146"/>
        <v>1</v>
      </c>
      <c r="AQ75" s="26">
        <f t="shared" si="146"/>
        <v>1</v>
      </c>
      <c r="AR75" s="26">
        <f t="shared" si="146"/>
        <v>1</v>
      </c>
      <c r="AS75" s="26">
        <f t="shared" si="146"/>
        <v>1</v>
      </c>
      <c r="AT75" s="26">
        <f t="shared" si="146"/>
        <v>1</v>
      </c>
      <c r="AU75" s="26">
        <f t="shared" si="146"/>
        <v>1</v>
      </c>
      <c r="AV75" s="26">
        <f t="shared" si="146"/>
        <v>1</v>
      </c>
      <c r="AW75" s="26">
        <f t="shared" si="146"/>
        <v>1</v>
      </c>
      <c r="AX75" s="26">
        <f t="shared" si="146"/>
        <v>1</v>
      </c>
      <c r="AZ75" s="23">
        <f>($G$75/12)*O75</f>
        <v>6250</v>
      </c>
      <c r="BA75" s="23">
        <f aca="true" t="shared" si="147" ref="BA75:BK75">($G$75/12)*P75</f>
        <v>6250</v>
      </c>
      <c r="BB75" s="23">
        <f t="shared" si="147"/>
        <v>6250</v>
      </c>
      <c r="BC75" s="23">
        <f t="shared" si="147"/>
        <v>6250</v>
      </c>
      <c r="BD75" s="23">
        <f t="shared" si="147"/>
        <v>6250</v>
      </c>
      <c r="BE75" s="23">
        <f t="shared" si="147"/>
        <v>6250</v>
      </c>
      <c r="BF75" s="23">
        <f t="shared" si="147"/>
        <v>6250</v>
      </c>
      <c r="BG75" s="23">
        <f t="shared" si="147"/>
        <v>6250</v>
      </c>
      <c r="BH75" s="23">
        <f t="shared" si="147"/>
        <v>6250</v>
      </c>
      <c r="BI75" s="23">
        <f t="shared" si="147"/>
        <v>6250</v>
      </c>
      <c r="BJ75" s="23">
        <f t="shared" si="147"/>
        <v>6250</v>
      </c>
      <c r="BK75" s="23">
        <f t="shared" si="147"/>
        <v>6250</v>
      </c>
      <c r="BL75" s="23">
        <f>($H$75/12)*AA75</f>
        <v>6562.5</v>
      </c>
      <c r="BM75" s="23">
        <f aca="true" t="shared" si="148" ref="BM75:BW75">($H$75/12)*AB75</f>
        <v>6562.5</v>
      </c>
      <c r="BN75" s="23">
        <f t="shared" si="148"/>
        <v>6562.5</v>
      </c>
      <c r="BO75" s="23">
        <f t="shared" si="148"/>
        <v>6562.5</v>
      </c>
      <c r="BP75" s="23">
        <f t="shared" si="148"/>
        <v>6562.5</v>
      </c>
      <c r="BQ75" s="23">
        <f t="shared" si="148"/>
        <v>6562.5</v>
      </c>
      <c r="BR75" s="23">
        <f t="shared" si="148"/>
        <v>6562.5</v>
      </c>
      <c r="BS75" s="23">
        <f t="shared" si="148"/>
        <v>6562.5</v>
      </c>
      <c r="BT75" s="23">
        <f t="shared" si="148"/>
        <v>6562.5</v>
      </c>
      <c r="BU75" s="23">
        <f t="shared" si="148"/>
        <v>6562.5</v>
      </c>
      <c r="BV75" s="23">
        <f t="shared" si="148"/>
        <v>6562.5</v>
      </c>
      <c r="BW75" s="23">
        <f t="shared" si="148"/>
        <v>6562.5</v>
      </c>
      <c r="BX75" s="23">
        <f>($I$75/12)*AM75</f>
        <v>6759.375</v>
      </c>
      <c r="BY75" s="23">
        <f aca="true" t="shared" si="149" ref="BY75:CI75">($I$75/12)*AN75</f>
        <v>6759.375</v>
      </c>
      <c r="BZ75" s="23">
        <f t="shared" si="149"/>
        <v>6759.375</v>
      </c>
      <c r="CA75" s="23">
        <f t="shared" si="149"/>
        <v>6759.375</v>
      </c>
      <c r="CB75" s="23">
        <f t="shared" si="149"/>
        <v>6759.375</v>
      </c>
      <c r="CC75" s="23">
        <f t="shared" si="149"/>
        <v>6759.375</v>
      </c>
      <c r="CD75" s="23">
        <f t="shared" si="149"/>
        <v>6759.375</v>
      </c>
      <c r="CE75" s="23">
        <f t="shared" si="149"/>
        <v>6759.375</v>
      </c>
      <c r="CF75" s="23">
        <f t="shared" si="149"/>
        <v>6759.375</v>
      </c>
      <c r="CG75" s="23">
        <f t="shared" si="149"/>
        <v>6759.375</v>
      </c>
      <c r="CH75" s="23">
        <f t="shared" si="149"/>
        <v>6759.375</v>
      </c>
      <c r="CI75" s="112">
        <f t="shared" si="149"/>
        <v>6759.375</v>
      </c>
    </row>
    <row r="76" spans="1:87" s="52" customFormat="1" ht="12.75" customHeight="1">
      <c r="A76" s="33" t="s">
        <v>145</v>
      </c>
      <c r="B76" s="211">
        <f>Z76</f>
        <v>3</v>
      </c>
      <c r="C76" s="237">
        <v>4</v>
      </c>
      <c r="D76" s="237">
        <v>4</v>
      </c>
      <c r="E76" s="248"/>
      <c r="F76" s="239">
        <v>75000</v>
      </c>
      <c r="G76" s="116">
        <f>F76</f>
        <v>75000</v>
      </c>
      <c r="H76" s="116">
        <f>G76*(1+$C$4)</f>
        <v>78750</v>
      </c>
      <c r="I76" s="116">
        <f>H76*(1+$D$5)</f>
        <v>81112.5</v>
      </c>
      <c r="J76" s="248"/>
      <c r="K76" s="214">
        <f>SUM(AZ76:BK76)</f>
        <v>106250</v>
      </c>
      <c r="L76" s="215">
        <f>SUM(BL76:BW76)</f>
        <v>315000</v>
      </c>
      <c r="M76" s="215">
        <f>SUM(BX76:CI76)</f>
        <v>324450</v>
      </c>
      <c r="N76" s="248"/>
      <c r="O76" s="52">
        <v>0</v>
      </c>
      <c r="P76" s="52">
        <v>0</v>
      </c>
      <c r="Q76" s="52">
        <v>0</v>
      </c>
      <c r="R76" s="52">
        <v>1</v>
      </c>
      <c r="S76" s="52">
        <v>1</v>
      </c>
      <c r="T76" s="52">
        <v>1</v>
      </c>
      <c r="U76" s="52">
        <v>2</v>
      </c>
      <c r="V76" s="52">
        <v>2</v>
      </c>
      <c r="W76" s="52">
        <v>2</v>
      </c>
      <c r="X76" s="52">
        <v>2</v>
      </c>
      <c r="Y76" s="52">
        <v>3</v>
      </c>
      <c r="Z76" s="52">
        <v>3</v>
      </c>
      <c r="AA76" s="52">
        <f>$C$76</f>
        <v>4</v>
      </c>
      <c r="AB76" s="52">
        <f aca="true" t="shared" si="150" ref="AB76:AL76">$C$76</f>
        <v>4</v>
      </c>
      <c r="AC76" s="52">
        <f t="shared" si="150"/>
        <v>4</v>
      </c>
      <c r="AD76" s="52">
        <f t="shared" si="150"/>
        <v>4</v>
      </c>
      <c r="AE76" s="52">
        <f t="shared" si="150"/>
        <v>4</v>
      </c>
      <c r="AF76" s="52">
        <f t="shared" si="150"/>
        <v>4</v>
      </c>
      <c r="AG76" s="52">
        <f t="shared" si="150"/>
        <v>4</v>
      </c>
      <c r="AH76" s="52">
        <f t="shared" si="150"/>
        <v>4</v>
      </c>
      <c r="AI76" s="52">
        <f t="shared" si="150"/>
        <v>4</v>
      </c>
      <c r="AJ76" s="52">
        <f t="shared" si="150"/>
        <v>4</v>
      </c>
      <c r="AK76" s="52">
        <f t="shared" si="150"/>
        <v>4</v>
      </c>
      <c r="AL76" s="52">
        <f t="shared" si="150"/>
        <v>4</v>
      </c>
      <c r="AM76" s="52">
        <f>$D$76</f>
        <v>4</v>
      </c>
      <c r="AN76" s="52">
        <f aca="true" t="shared" si="151" ref="AN76:AX76">$D$76</f>
        <v>4</v>
      </c>
      <c r="AO76" s="52">
        <f t="shared" si="151"/>
        <v>4</v>
      </c>
      <c r="AP76" s="52">
        <f t="shared" si="151"/>
        <v>4</v>
      </c>
      <c r="AQ76" s="52">
        <f t="shared" si="151"/>
        <v>4</v>
      </c>
      <c r="AR76" s="52">
        <f t="shared" si="151"/>
        <v>4</v>
      </c>
      <c r="AS76" s="52">
        <f t="shared" si="151"/>
        <v>4</v>
      </c>
      <c r="AT76" s="52">
        <f t="shared" si="151"/>
        <v>4</v>
      </c>
      <c r="AU76" s="52">
        <f t="shared" si="151"/>
        <v>4</v>
      </c>
      <c r="AV76" s="52">
        <f t="shared" si="151"/>
        <v>4</v>
      </c>
      <c r="AW76" s="52">
        <f t="shared" si="151"/>
        <v>4</v>
      </c>
      <c r="AX76" s="52">
        <f t="shared" si="151"/>
        <v>4</v>
      </c>
      <c r="AZ76" s="116">
        <f>($G$76/12)*O76</f>
        <v>0</v>
      </c>
      <c r="BA76" s="116">
        <f aca="true" t="shared" si="152" ref="BA76:BK76">($G$76/12)*P76</f>
        <v>0</v>
      </c>
      <c r="BB76" s="116">
        <f t="shared" si="152"/>
        <v>0</v>
      </c>
      <c r="BC76" s="116">
        <f t="shared" si="152"/>
        <v>6250</v>
      </c>
      <c r="BD76" s="116">
        <f t="shared" si="152"/>
        <v>6250</v>
      </c>
      <c r="BE76" s="116">
        <f t="shared" si="152"/>
        <v>6250</v>
      </c>
      <c r="BF76" s="116">
        <f t="shared" si="152"/>
        <v>12500</v>
      </c>
      <c r="BG76" s="116">
        <f t="shared" si="152"/>
        <v>12500</v>
      </c>
      <c r="BH76" s="116">
        <f t="shared" si="152"/>
        <v>12500</v>
      </c>
      <c r="BI76" s="116">
        <f t="shared" si="152"/>
        <v>12500</v>
      </c>
      <c r="BJ76" s="116">
        <f t="shared" si="152"/>
        <v>18750</v>
      </c>
      <c r="BK76" s="116">
        <f t="shared" si="152"/>
        <v>18750</v>
      </c>
      <c r="BL76" s="116">
        <f>($H$76/12)*AA76</f>
        <v>26250</v>
      </c>
      <c r="BM76" s="116">
        <f>($H$76/12)*AB76</f>
        <v>26250</v>
      </c>
      <c r="BN76" s="116">
        <f aca="true" t="shared" si="153" ref="BN76:BW76">($H$76/12)*AC76</f>
        <v>26250</v>
      </c>
      <c r="BO76" s="116">
        <f t="shared" si="153"/>
        <v>26250</v>
      </c>
      <c r="BP76" s="116">
        <f t="shared" si="153"/>
        <v>26250</v>
      </c>
      <c r="BQ76" s="116">
        <f t="shared" si="153"/>
        <v>26250</v>
      </c>
      <c r="BR76" s="116">
        <f t="shared" si="153"/>
        <v>26250</v>
      </c>
      <c r="BS76" s="116">
        <f t="shared" si="153"/>
        <v>26250</v>
      </c>
      <c r="BT76" s="116">
        <f t="shared" si="153"/>
        <v>26250</v>
      </c>
      <c r="BU76" s="116">
        <f t="shared" si="153"/>
        <v>26250</v>
      </c>
      <c r="BV76" s="116">
        <f t="shared" si="153"/>
        <v>26250</v>
      </c>
      <c r="BW76" s="116">
        <f t="shared" si="153"/>
        <v>26250</v>
      </c>
      <c r="BX76" s="116">
        <f>($I$76/12)*AM76</f>
        <v>27037.5</v>
      </c>
      <c r="BY76" s="116">
        <f aca="true" t="shared" si="154" ref="BY76:CI76">($I$76/12)*AN76</f>
        <v>27037.5</v>
      </c>
      <c r="BZ76" s="116">
        <f t="shared" si="154"/>
        <v>27037.5</v>
      </c>
      <c r="CA76" s="116">
        <f t="shared" si="154"/>
        <v>27037.5</v>
      </c>
      <c r="CB76" s="116">
        <f t="shared" si="154"/>
        <v>27037.5</v>
      </c>
      <c r="CC76" s="116">
        <f t="shared" si="154"/>
        <v>27037.5</v>
      </c>
      <c r="CD76" s="116">
        <f t="shared" si="154"/>
        <v>27037.5</v>
      </c>
      <c r="CE76" s="116">
        <f t="shared" si="154"/>
        <v>27037.5</v>
      </c>
      <c r="CF76" s="116">
        <f t="shared" si="154"/>
        <v>27037.5</v>
      </c>
      <c r="CG76" s="116">
        <f t="shared" si="154"/>
        <v>27037.5</v>
      </c>
      <c r="CH76" s="116">
        <f t="shared" si="154"/>
        <v>27037.5</v>
      </c>
      <c r="CI76" s="119">
        <f t="shared" si="154"/>
        <v>27037.5</v>
      </c>
    </row>
    <row r="77" spans="1:114" s="52" customFormat="1" ht="12.75" customHeight="1">
      <c r="A77" s="38" t="s">
        <v>193</v>
      </c>
      <c r="B77" s="38">
        <f>SUM(B75:B76)</f>
        <v>4</v>
      </c>
      <c r="C77" s="52">
        <f>SUM(C75:C76)</f>
        <v>5</v>
      </c>
      <c r="D77" s="52">
        <f>SUM(D75:D76)</f>
        <v>5</v>
      </c>
      <c r="E77" s="248"/>
      <c r="F77" s="118"/>
      <c r="G77" s="116"/>
      <c r="H77" s="116"/>
      <c r="I77" s="116"/>
      <c r="J77" s="248"/>
      <c r="K77" s="214">
        <f>SUM(K75:K76)</f>
        <v>181250</v>
      </c>
      <c r="L77" s="215">
        <f>SUM(L75:L76)</f>
        <v>393750</v>
      </c>
      <c r="M77" s="215">
        <f>SUM(M75:M76)</f>
        <v>405562.5</v>
      </c>
      <c r="N77" s="248"/>
      <c r="O77" s="52">
        <f aca="true" t="shared" si="155" ref="O77:AX77">SUM(O75:O76)</f>
        <v>1</v>
      </c>
      <c r="P77" s="52">
        <f t="shared" si="155"/>
        <v>1</v>
      </c>
      <c r="Q77" s="52">
        <f t="shared" si="155"/>
        <v>1</v>
      </c>
      <c r="R77" s="52">
        <f t="shared" si="155"/>
        <v>2</v>
      </c>
      <c r="S77" s="52">
        <f t="shared" si="155"/>
        <v>2</v>
      </c>
      <c r="T77" s="52">
        <f t="shared" si="155"/>
        <v>2</v>
      </c>
      <c r="U77" s="52">
        <f t="shared" si="155"/>
        <v>3</v>
      </c>
      <c r="V77" s="52">
        <f t="shared" si="155"/>
        <v>3</v>
      </c>
      <c r="W77" s="52">
        <f t="shared" si="155"/>
        <v>3</v>
      </c>
      <c r="X77" s="52">
        <f t="shared" si="155"/>
        <v>3</v>
      </c>
      <c r="Y77" s="52">
        <f t="shared" si="155"/>
        <v>4</v>
      </c>
      <c r="Z77" s="52">
        <f t="shared" si="155"/>
        <v>4</v>
      </c>
      <c r="AA77" s="52">
        <f t="shared" si="155"/>
        <v>5</v>
      </c>
      <c r="AB77" s="52">
        <f t="shared" si="155"/>
        <v>5</v>
      </c>
      <c r="AC77" s="52">
        <f t="shared" si="155"/>
        <v>5</v>
      </c>
      <c r="AD77" s="52">
        <f t="shared" si="155"/>
        <v>5</v>
      </c>
      <c r="AE77" s="52">
        <f t="shared" si="155"/>
        <v>5</v>
      </c>
      <c r="AF77" s="52">
        <f t="shared" si="155"/>
        <v>5</v>
      </c>
      <c r="AG77" s="52">
        <f t="shared" si="155"/>
        <v>5</v>
      </c>
      <c r="AH77" s="52">
        <f t="shared" si="155"/>
        <v>5</v>
      </c>
      <c r="AI77" s="52">
        <f t="shared" si="155"/>
        <v>5</v>
      </c>
      <c r="AJ77" s="52">
        <f t="shared" si="155"/>
        <v>5</v>
      </c>
      <c r="AK77" s="52">
        <f t="shared" si="155"/>
        <v>5</v>
      </c>
      <c r="AL77" s="52">
        <f t="shared" si="155"/>
        <v>5</v>
      </c>
      <c r="AM77" s="52">
        <f t="shared" si="155"/>
        <v>5</v>
      </c>
      <c r="AN77" s="52">
        <f t="shared" si="155"/>
        <v>5</v>
      </c>
      <c r="AO77" s="52">
        <f t="shared" si="155"/>
        <v>5</v>
      </c>
      <c r="AP77" s="52">
        <f t="shared" si="155"/>
        <v>5</v>
      </c>
      <c r="AQ77" s="52">
        <f t="shared" si="155"/>
        <v>5</v>
      </c>
      <c r="AR77" s="52">
        <f t="shared" si="155"/>
        <v>5</v>
      </c>
      <c r="AS77" s="52">
        <f t="shared" si="155"/>
        <v>5</v>
      </c>
      <c r="AT77" s="52">
        <f t="shared" si="155"/>
        <v>5</v>
      </c>
      <c r="AU77" s="52">
        <f t="shared" si="155"/>
        <v>5</v>
      </c>
      <c r="AV77" s="52">
        <f t="shared" si="155"/>
        <v>5</v>
      </c>
      <c r="AW77" s="52">
        <f t="shared" si="155"/>
        <v>5</v>
      </c>
      <c r="AX77" s="52">
        <f t="shared" si="155"/>
        <v>5</v>
      </c>
      <c r="AZ77" s="116">
        <f aca="true" t="shared" si="156" ref="AZ77:CI77">SUM(AZ75:AZ76)</f>
        <v>6250</v>
      </c>
      <c r="BA77" s="116">
        <f t="shared" si="156"/>
        <v>6250</v>
      </c>
      <c r="BB77" s="116">
        <f t="shared" si="156"/>
        <v>6250</v>
      </c>
      <c r="BC77" s="116">
        <f t="shared" si="156"/>
        <v>12500</v>
      </c>
      <c r="BD77" s="116">
        <f t="shared" si="156"/>
        <v>12500</v>
      </c>
      <c r="BE77" s="116">
        <f t="shared" si="156"/>
        <v>12500</v>
      </c>
      <c r="BF77" s="116">
        <f t="shared" si="156"/>
        <v>18750</v>
      </c>
      <c r="BG77" s="116">
        <f t="shared" si="156"/>
        <v>18750</v>
      </c>
      <c r="BH77" s="116">
        <f t="shared" si="156"/>
        <v>18750</v>
      </c>
      <c r="BI77" s="116">
        <f t="shared" si="156"/>
        <v>18750</v>
      </c>
      <c r="BJ77" s="116">
        <f t="shared" si="156"/>
        <v>25000</v>
      </c>
      <c r="BK77" s="116">
        <f t="shared" si="156"/>
        <v>25000</v>
      </c>
      <c r="BL77" s="116">
        <f t="shared" si="156"/>
        <v>32812.5</v>
      </c>
      <c r="BM77" s="116">
        <f t="shared" si="156"/>
        <v>32812.5</v>
      </c>
      <c r="BN77" s="116">
        <f t="shared" si="156"/>
        <v>32812.5</v>
      </c>
      <c r="BO77" s="116">
        <f t="shared" si="156"/>
        <v>32812.5</v>
      </c>
      <c r="BP77" s="116">
        <f t="shared" si="156"/>
        <v>32812.5</v>
      </c>
      <c r="BQ77" s="116">
        <f t="shared" si="156"/>
        <v>32812.5</v>
      </c>
      <c r="BR77" s="116">
        <f t="shared" si="156"/>
        <v>32812.5</v>
      </c>
      <c r="BS77" s="116">
        <f t="shared" si="156"/>
        <v>32812.5</v>
      </c>
      <c r="BT77" s="116">
        <f t="shared" si="156"/>
        <v>32812.5</v>
      </c>
      <c r="BU77" s="116">
        <f t="shared" si="156"/>
        <v>32812.5</v>
      </c>
      <c r="BV77" s="116">
        <f t="shared" si="156"/>
        <v>32812.5</v>
      </c>
      <c r="BW77" s="116">
        <f t="shared" si="156"/>
        <v>32812.5</v>
      </c>
      <c r="BX77" s="116">
        <f t="shared" si="156"/>
        <v>33796.875</v>
      </c>
      <c r="BY77" s="116">
        <f t="shared" si="156"/>
        <v>33796.875</v>
      </c>
      <c r="BZ77" s="116">
        <f t="shared" si="156"/>
        <v>33796.875</v>
      </c>
      <c r="CA77" s="116">
        <f t="shared" si="156"/>
        <v>33796.875</v>
      </c>
      <c r="CB77" s="116">
        <f t="shared" si="156"/>
        <v>33796.875</v>
      </c>
      <c r="CC77" s="116">
        <f t="shared" si="156"/>
        <v>33796.875</v>
      </c>
      <c r="CD77" s="116">
        <f t="shared" si="156"/>
        <v>33796.875</v>
      </c>
      <c r="CE77" s="116">
        <f t="shared" si="156"/>
        <v>33796.875</v>
      </c>
      <c r="CF77" s="116">
        <f t="shared" si="156"/>
        <v>33796.875</v>
      </c>
      <c r="CG77" s="116">
        <f t="shared" si="156"/>
        <v>33796.875</v>
      </c>
      <c r="CH77" s="116">
        <f t="shared" si="156"/>
        <v>33796.875</v>
      </c>
      <c r="CI77" s="119">
        <f t="shared" si="156"/>
        <v>33796.875</v>
      </c>
      <c r="CJ77" s="116"/>
      <c r="CK77" s="116"/>
      <c r="CL77" s="116"/>
      <c r="CM77" s="116"/>
      <c r="CN77" s="116"/>
      <c r="CO77" s="116"/>
      <c r="CP77" s="116"/>
      <c r="CQ77" s="116"/>
      <c r="CR77" s="116"/>
      <c r="CS77" s="116"/>
      <c r="CT77" s="116"/>
      <c r="CU77" s="116"/>
      <c r="CV77" s="116"/>
      <c r="CW77" s="116"/>
      <c r="CX77" s="116"/>
      <c r="CY77" s="116"/>
      <c r="CZ77" s="116"/>
      <c r="DA77" s="116"/>
      <c r="DB77" s="116"/>
      <c r="DC77" s="116"/>
      <c r="DD77" s="116"/>
      <c r="DE77" s="116"/>
      <c r="DF77" s="116"/>
      <c r="DG77" s="116"/>
      <c r="DH77" s="116"/>
      <c r="DI77" s="116"/>
      <c r="DJ77" s="116"/>
    </row>
    <row r="78" spans="1:87" ht="12.75" customHeight="1">
      <c r="A78" s="32" t="s">
        <v>407</v>
      </c>
      <c r="B78" s="32"/>
      <c r="C78" s="26"/>
      <c r="D78" s="26"/>
      <c r="E78" s="246"/>
      <c r="F78" s="111"/>
      <c r="G78" s="23"/>
      <c r="H78" s="23"/>
      <c r="I78" s="23"/>
      <c r="J78" s="246"/>
      <c r="K78" s="158">
        <f>K77*B6</f>
        <v>45312.5</v>
      </c>
      <c r="L78" s="153">
        <f>L77*C6</f>
        <v>98437.5</v>
      </c>
      <c r="M78" s="153">
        <f>M77*D6</f>
        <v>101390.625</v>
      </c>
      <c r="N78" s="24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3">
        <f aca="true" t="shared" si="157" ref="AZ78:BK78">AZ77*$B$6</f>
        <v>1562.5</v>
      </c>
      <c r="BA78" s="23">
        <f t="shared" si="157"/>
        <v>1562.5</v>
      </c>
      <c r="BB78" s="23">
        <f t="shared" si="157"/>
        <v>1562.5</v>
      </c>
      <c r="BC78" s="23">
        <f t="shared" si="157"/>
        <v>3125</v>
      </c>
      <c r="BD78" s="23">
        <f t="shared" si="157"/>
        <v>3125</v>
      </c>
      <c r="BE78" s="23">
        <f t="shared" si="157"/>
        <v>3125</v>
      </c>
      <c r="BF78" s="23">
        <f t="shared" si="157"/>
        <v>4687.5</v>
      </c>
      <c r="BG78" s="23">
        <f t="shared" si="157"/>
        <v>4687.5</v>
      </c>
      <c r="BH78" s="23">
        <f t="shared" si="157"/>
        <v>4687.5</v>
      </c>
      <c r="BI78" s="23">
        <f t="shared" si="157"/>
        <v>4687.5</v>
      </c>
      <c r="BJ78" s="23">
        <f t="shared" si="157"/>
        <v>6250</v>
      </c>
      <c r="BK78" s="23">
        <f t="shared" si="157"/>
        <v>6250</v>
      </c>
      <c r="BL78" s="23">
        <f aca="true" t="shared" si="158" ref="BL78:BW78">BL77*$C$6</f>
        <v>8203.125</v>
      </c>
      <c r="BM78" s="23">
        <f t="shared" si="158"/>
        <v>8203.125</v>
      </c>
      <c r="BN78" s="23">
        <f t="shared" si="158"/>
        <v>8203.125</v>
      </c>
      <c r="BO78" s="23">
        <f t="shared" si="158"/>
        <v>8203.125</v>
      </c>
      <c r="BP78" s="23">
        <f t="shared" si="158"/>
        <v>8203.125</v>
      </c>
      <c r="BQ78" s="23">
        <f t="shared" si="158"/>
        <v>8203.125</v>
      </c>
      <c r="BR78" s="23">
        <f t="shared" si="158"/>
        <v>8203.125</v>
      </c>
      <c r="BS78" s="23">
        <f t="shared" si="158"/>
        <v>8203.125</v>
      </c>
      <c r="BT78" s="23">
        <f t="shared" si="158"/>
        <v>8203.125</v>
      </c>
      <c r="BU78" s="23">
        <f t="shared" si="158"/>
        <v>8203.125</v>
      </c>
      <c r="BV78" s="23">
        <f t="shared" si="158"/>
        <v>8203.125</v>
      </c>
      <c r="BW78" s="23">
        <f t="shared" si="158"/>
        <v>8203.125</v>
      </c>
      <c r="BX78" s="23">
        <f aca="true" t="shared" si="159" ref="BX78:CI78">BX77*$D$6</f>
        <v>8449.21875</v>
      </c>
      <c r="BY78" s="23">
        <f t="shared" si="159"/>
        <v>8449.21875</v>
      </c>
      <c r="BZ78" s="23">
        <f t="shared" si="159"/>
        <v>8449.21875</v>
      </c>
      <c r="CA78" s="23">
        <f t="shared" si="159"/>
        <v>8449.21875</v>
      </c>
      <c r="CB78" s="23">
        <f t="shared" si="159"/>
        <v>8449.21875</v>
      </c>
      <c r="CC78" s="23">
        <f t="shared" si="159"/>
        <v>8449.21875</v>
      </c>
      <c r="CD78" s="23">
        <f t="shared" si="159"/>
        <v>8449.21875</v>
      </c>
      <c r="CE78" s="23">
        <f t="shared" si="159"/>
        <v>8449.21875</v>
      </c>
      <c r="CF78" s="23">
        <f t="shared" si="159"/>
        <v>8449.21875</v>
      </c>
      <c r="CG78" s="23">
        <f t="shared" si="159"/>
        <v>8449.21875</v>
      </c>
      <c r="CH78" s="23">
        <f t="shared" si="159"/>
        <v>8449.21875</v>
      </c>
      <c r="CI78" s="112">
        <f t="shared" si="159"/>
        <v>8449.21875</v>
      </c>
    </row>
    <row r="79" spans="1:87" ht="12.75" customHeight="1">
      <c r="A79" s="32" t="s">
        <v>138</v>
      </c>
      <c r="B79" s="32"/>
      <c r="C79" s="26"/>
      <c r="D79" s="26"/>
      <c r="E79" s="246"/>
      <c r="F79" s="111"/>
      <c r="G79" s="23"/>
      <c r="H79" s="23"/>
      <c r="I79" s="23"/>
      <c r="J79" s="246"/>
      <c r="K79" s="158">
        <f>K77+K78</f>
        <v>226562.5</v>
      </c>
      <c r="L79" s="153">
        <f>L77+L78</f>
        <v>492187.5</v>
      </c>
      <c r="M79" s="153">
        <f>M77+M78</f>
        <v>506953.125</v>
      </c>
      <c r="N79" s="24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3">
        <f aca="true" t="shared" si="160" ref="AZ79:CI79">AZ77+AZ78</f>
        <v>7812.5</v>
      </c>
      <c r="BA79" s="23">
        <f t="shared" si="160"/>
        <v>7812.5</v>
      </c>
      <c r="BB79" s="23">
        <f t="shared" si="160"/>
        <v>7812.5</v>
      </c>
      <c r="BC79" s="23">
        <f t="shared" si="160"/>
        <v>15625</v>
      </c>
      <c r="BD79" s="23">
        <f t="shared" si="160"/>
        <v>15625</v>
      </c>
      <c r="BE79" s="23">
        <f t="shared" si="160"/>
        <v>15625</v>
      </c>
      <c r="BF79" s="23">
        <f t="shared" si="160"/>
        <v>23437.5</v>
      </c>
      <c r="BG79" s="23">
        <f t="shared" si="160"/>
        <v>23437.5</v>
      </c>
      <c r="BH79" s="23">
        <f t="shared" si="160"/>
        <v>23437.5</v>
      </c>
      <c r="BI79" s="23">
        <f t="shared" si="160"/>
        <v>23437.5</v>
      </c>
      <c r="BJ79" s="23">
        <f t="shared" si="160"/>
        <v>31250</v>
      </c>
      <c r="BK79" s="23">
        <f t="shared" si="160"/>
        <v>31250</v>
      </c>
      <c r="BL79" s="23">
        <f t="shared" si="160"/>
        <v>41015.625</v>
      </c>
      <c r="BM79" s="23">
        <f t="shared" si="160"/>
        <v>41015.625</v>
      </c>
      <c r="BN79" s="23">
        <f t="shared" si="160"/>
        <v>41015.625</v>
      </c>
      <c r="BO79" s="23">
        <f t="shared" si="160"/>
        <v>41015.625</v>
      </c>
      <c r="BP79" s="23">
        <f t="shared" si="160"/>
        <v>41015.625</v>
      </c>
      <c r="BQ79" s="23">
        <f t="shared" si="160"/>
        <v>41015.625</v>
      </c>
      <c r="BR79" s="23">
        <f t="shared" si="160"/>
        <v>41015.625</v>
      </c>
      <c r="BS79" s="23">
        <f t="shared" si="160"/>
        <v>41015.625</v>
      </c>
      <c r="BT79" s="23">
        <f t="shared" si="160"/>
        <v>41015.625</v>
      </c>
      <c r="BU79" s="23">
        <f t="shared" si="160"/>
        <v>41015.625</v>
      </c>
      <c r="BV79" s="23">
        <f t="shared" si="160"/>
        <v>41015.625</v>
      </c>
      <c r="BW79" s="23">
        <f t="shared" si="160"/>
        <v>41015.625</v>
      </c>
      <c r="BX79" s="23">
        <f t="shared" si="160"/>
        <v>42246.09375</v>
      </c>
      <c r="BY79" s="23">
        <f t="shared" si="160"/>
        <v>42246.09375</v>
      </c>
      <c r="BZ79" s="23">
        <f t="shared" si="160"/>
        <v>42246.09375</v>
      </c>
      <c r="CA79" s="23">
        <f t="shared" si="160"/>
        <v>42246.09375</v>
      </c>
      <c r="CB79" s="23">
        <f t="shared" si="160"/>
        <v>42246.09375</v>
      </c>
      <c r="CC79" s="23">
        <f t="shared" si="160"/>
        <v>42246.09375</v>
      </c>
      <c r="CD79" s="23">
        <f t="shared" si="160"/>
        <v>42246.09375</v>
      </c>
      <c r="CE79" s="23">
        <f t="shared" si="160"/>
        <v>42246.09375</v>
      </c>
      <c r="CF79" s="23">
        <f t="shared" si="160"/>
        <v>42246.09375</v>
      </c>
      <c r="CG79" s="23">
        <f t="shared" si="160"/>
        <v>42246.09375</v>
      </c>
      <c r="CH79" s="23">
        <f t="shared" si="160"/>
        <v>42246.09375</v>
      </c>
      <c r="CI79" s="112">
        <f t="shared" si="160"/>
        <v>42246.09375</v>
      </c>
    </row>
    <row r="80" spans="1:87" ht="12.75" customHeight="1">
      <c r="A80" s="32"/>
      <c r="B80" s="32"/>
      <c r="C80" s="26"/>
      <c r="D80" s="26"/>
      <c r="E80" s="246"/>
      <c r="F80" s="111"/>
      <c r="G80" s="23"/>
      <c r="H80" s="23"/>
      <c r="I80" s="23"/>
      <c r="J80" s="246"/>
      <c r="K80" s="158"/>
      <c r="L80" s="153"/>
      <c r="M80" s="153"/>
      <c r="N80" s="24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112"/>
    </row>
    <row r="81" spans="1:87" ht="12.75" customHeight="1">
      <c r="A81" s="162" t="s">
        <v>251</v>
      </c>
      <c r="B81" s="32"/>
      <c r="C81" s="26"/>
      <c r="D81" s="26"/>
      <c r="E81" s="246"/>
      <c r="F81" s="111"/>
      <c r="G81" s="23"/>
      <c r="H81" s="23"/>
      <c r="I81" s="23"/>
      <c r="J81" s="246"/>
      <c r="K81" s="32"/>
      <c r="L81" s="26"/>
      <c r="M81" s="26"/>
      <c r="N81" s="24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112"/>
    </row>
    <row r="82" spans="1:114" s="26" customFormat="1" ht="12.75" customHeight="1">
      <c r="A82" s="32" t="s">
        <v>139</v>
      </c>
      <c r="B82" s="211">
        <f>Z82</f>
        <v>1</v>
      </c>
      <c r="C82" s="235">
        <v>1</v>
      </c>
      <c r="D82" s="235">
        <v>1</v>
      </c>
      <c r="E82" s="246"/>
      <c r="F82" s="238">
        <f>6500*12</f>
        <v>78000</v>
      </c>
      <c r="G82" s="23">
        <f>F82</f>
        <v>78000</v>
      </c>
      <c r="H82" s="23">
        <f>G82*(1+C5)</f>
        <v>80340</v>
      </c>
      <c r="I82" s="23">
        <f>H82*(1+D5)</f>
        <v>82750.2</v>
      </c>
      <c r="J82" s="246"/>
      <c r="K82" s="158">
        <f>SUM(AZ82:BK82)</f>
        <v>58500</v>
      </c>
      <c r="L82" s="153">
        <f>SUM(BL82:BW82)</f>
        <v>80340</v>
      </c>
      <c r="M82" s="153">
        <f>SUM(BX82:CI82)</f>
        <v>82750.20000000001</v>
      </c>
      <c r="N82" s="246"/>
      <c r="O82" s="26">
        <v>0</v>
      </c>
      <c r="P82" s="26">
        <v>0</v>
      </c>
      <c r="Q82" s="26">
        <v>0</v>
      </c>
      <c r="R82" s="26">
        <v>1</v>
      </c>
      <c r="S82" s="26">
        <v>1</v>
      </c>
      <c r="T82" s="26">
        <v>1</v>
      </c>
      <c r="U82" s="26">
        <v>1</v>
      </c>
      <c r="V82" s="26">
        <v>1</v>
      </c>
      <c r="W82" s="26">
        <v>1</v>
      </c>
      <c r="X82" s="26">
        <v>1</v>
      </c>
      <c r="Y82" s="26">
        <v>1</v>
      </c>
      <c r="Z82" s="26">
        <v>1</v>
      </c>
      <c r="AA82" s="26">
        <f>$C$82</f>
        <v>1</v>
      </c>
      <c r="AB82" s="26">
        <f aca="true" t="shared" si="161" ref="AB82:AL82">$C$82</f>
        <v>1</v>
      </c>
      <c r="AC82" s="26">
        <f t="shared" si="161"/>
        <v>1</v>
      </c>
      <c r="AD82" s="26">
        <f t="shared" si="161"/>
        <v>1</v>
      </c>
      <c r="AE82" s="26">
        <f t="shared" si="161"/>
        <v>1</v>
      </c>
      <c r="AF82" s="26">
        <f t="shared" si="161"/>
        <v>1</v>
      </c>
      <c r="AG82" s="26">
        <f t="shared" si="161"/>
        <v>1</v>
      </c>
      <c r="AH82" s="26">
        <f t="shared" si="161"/>
        <v>1</v>
      </c>
      <c r="AI82" s="26">
        <f t="shared" si="161"/>
        <v>1</v>
      </c>
      <c r="AJ82" s="26">
        <f t="shared" si="161"/>
        <v>1</v>
      </c>
      <c r="AK82" s="26">
        <f t="shared" si="161"/>
        <v>1</v>
      </c>
      <c r="AL82" s="26">
        <f t="shared" si="161"/>
        <v>1</v>
      </c>
      <c r="AM82" s="26">
        <f>$D$82</f>
        <v>1</v>
      </c>
      <c r="AN82" s="26">
        <f aca="true" t="shared" si="162" ref="AN82:AX82">$D$82</f>
        <v>1</v>
      </c>
      <c r="AO82" s="26">
        <f t="shared" si="162"/>
        <v>1</v>
      </c>
      <c r="AP82" s="26">
        <f t="shared" si="162"/>
        <v>1</v>
      </c>
      <c r="AQ82" s="26">
        <f t="shared" si="162"/>
        <v>1</v>
      </c>
      <c r="AR82" s="26">
        <f t="shared" si="162"/>
        <v>1</v>
      </c>
      <c r="AS82" s="26">
        <f t="shared" si="162"/>
        <v>1</v>
      </c>
      <c r="AT82" s="26">
        <f t="shared" si="162"/>
        <v>1</v>
      </c>
      <c r="AU82" s="26">
        <f t="shared" si="162"/>
        <v>1</v>
      </c>
      <c r="AV82" s="26">
        <f t="shared" si="162"/>
        <v>1</v>
      </c>
      <c r="AW82" s="26">
        <f t="shared" si="162"/>
        <v>1</v>
      </c>
      <c r="AX82" s="26">
        <f t="shared" si="162"/>
        <v>1</v>
      </c>
      <c r="AZ82" s="23">
        <f>($G$82/12)*O82</f>
        <v>0</v>
      </c>
      <c r="BA82" s="23">
        <f aca="true" t="shared" si="163" ref="BA82:BK82">($G$82/12)*P82</f>
        <v>0</v>
      </c>
      <c r="BB82" s="23">
        <f t="shared" si="163"/>
        <v>0</v>
      </c>
      <c r="BC82" s="23">
        <f t="shared" si="163"/>
        <v>6500</v>
      </c>
      <c r="BD82" s="23">
        <f t="shared" si="163"/>
        <v>6500</v>
      </c>
      <c r="BE82" s="23">
        <f t="shared" si="163"/>
        <v>6500</v>
      </c>
      <c r="BF82" s="23">
        <f t="shared" si="163"/>
        <v>6500</v>
      </c>
      <c r="BG82" s="23">
        <f t="shared" si="163"/>
        <v>6500</v>
      </c>
      <c r="BH82" s="23">
        <f t="shared" si="163"/>
        <v>6500</v>
      </c>
      <c r="BI82" s="23">
        <f t="shared" si="163"/>
        <v>6500</v>
      </c>
      <c r="BJ82" s="23">
        <f t="shared" si="163"/>
        <v>6500</v>
      </c>
      <c r="BK82" s="23">
        <f t="shared" si="163"/>
        <v>6500</v>
      </c>
      <c r="BL82" s="23">
        <f>($H$82/12)*AA82</f>
        <v>6695</v>
      </c>
      <c r="BM82" s="23">
        <f aca="true" t="shared" si="164" ref="BM82:BW82">($H$82/12)*AB82</f>
        <v>6695</v>
      </c>
      <c r="BN82" s="23">
        <f t="shared" si="164"/>
        <v>6695</v>
      </c>
      <c r="BO82" s="23">
        <f t="shared" si="164"/>
        <v>6695</v>
      </c>
      <c r="BP82" s="23">
        <f t="shared" si="164"/>
        <v>6695</v>
      </c>
      <c r="BQ82" s="23">
        <f t="shared" si="164"/>
        <v>6695</v>
      </c>
      <c r="BR82" s="23">
        <f t="shared" si="164"/>
        <v>6695</v>
      </c>
      <c r="BS82" s="23">
        <f t="shared" si="164"/>
        <v>6695</v>
      </c>
      <c r="BT82" s="23">
        <f t="shared" si="164"/>
        <v>6695</v>
      </c>
      <c r="BU82" s="23">
        <f t="shared" si="164"/>
        <v>6695</v>
      </c>
      <c r="BV82" s="23">
        <f t="shared" si="164"/>
        <v>6695</v>
      </c>
      <c r="BW82" s="23">
        <f t="shared" si="164"/>
        <v>6695</v>
      </c>
      <c r="BX82" s="23">
        <f>($I$82/12)*AM82</f>
        <v>6895.849999999999</v>
      </c>
      <c r="BY82" s="23">
        <f aca="true" t="shared" si="165" ref="BY82:CI82">($I$82/12)*AN82</f>
        <v>6895.849999999999</v>
      </c>
      <c r="BZ82" s="23">
        <f t="shared" si="165"/>
        <v>6895.849999999999</v>
      </c>
      <c r="CA82" s="23">
        <f t="shared" si="165"/>
        <v>6895.849999999999</v>
      </c>
      <c r="CB82" s="23">
        <f t="shared" si="165"/>
        <v>6895.849999999999</v>
      </c>
      <c r="CC82" s="23">
        <f t="shared" si="165"/>
        <v>6895.849999999999</v>
      </c>
      <c r="CD82" s="23">
        <f t="shared" si="165"/>
        <v>6895.849999999999</v>
      </c>
      <c r="CE82" s="23">
        <f t="shared" si="165"/>
        <v>6895.849999999999</v>
      </c>
      <c r="CF82" s="23">
        <f t="shared" si="165"/>
        <v>6895.849999999999</v>
      </c>
      <c r="CG82" s="23">
        <f t="shared" si="165"/>
        <v>6895.849999999999</v>
      </c>
      <c r="CH82" s="23">
        <f t="shared" si="165"/>
        <v>6895.849999999999</v>
      </c>
      <c r="CI82" s="112">
        <f t="shared" si="165"/>
        <v>6895.849999999999</v>
      </c>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row>
    <row r="83" spans="1:114" s="52" customFormat="1" ht="12.75" customHeight="1">
      <c r="A83" s="264" t="s">
        <v>141</v>
      </c>
      <c r="B83" s="236">
        <v>2</v>
      </c>
      <c r="C83" s="237">
        <v>2</v>
      </c>
      <c r="D83" s="237">
        <v>2</v>
      </c>
      <c r="E83" s="248"/>
      <c r="F83" s="239">
        <v>78000</v>
      </c>
      <c r="G83" s="116">
        <f>F83</f>
        <v>78000</v>
      </c>
      <c r="H83" s="116">
        <f>G83*(1+C5)</f>
        <v>80340</v>
      </c>
      <c r="I83" s="116">
        <f>H83*(1+D5)</f>
        <v>82750.2</v>
      </c>
      <c r="J83" s="248"/>
      <c r="K83" s="214">
        <f>SUM(AZ83:BK83)</f>
        <v>156000</v>
      </c>
      <c r="L83" s="215">
        <f>SUM(BL83:BW83)</f>
        <v>160680</v>
      </c>
      <c r="M83" s="215">
        <f>SUM(BX83:CI83)</f>
        <v>165500.40000000002</v>
      </c>
      <c r="N83" s="248"/>
      <c r="O83" s="52">
        <f>$B$83</f>
        <v>2</v>
      </c>
      <c r="P83" s="52">
        <f aca="true" t="shared" si="166" ref="P83:Z83">$B$83</f>
        <v>2</v>
      </c>
      <c r="Q83" s="52">
        <f t="shared" si="166"/>
        <v>2</v>
      </c>
      <c r="R83" s="52">
        <f t="shared" si="166"/>
        <v>2</v>
      </c>
      <c r="S83" s="52">
        <f t="shared" si="166"/>
        <v>2</v>
      </c>
      <c r="T83" s="52">
        <f t="shared" si="166"/>
        <v>2</v>
      </c>
      <c r="U83" s="52">
        <f t="shared" si="166"/>
        <v>2</v>
      </c>
      <c r="V83" s="52">
        <f t="shared" si="166"/>
        <v>2</v>
      </c>
      <c r="W83" s="52">
        <f t="shared" si="166"/>
        <v>2</v>
      </c>
      <c r="X83" s="52">
        <f t="shared" si="166"/>
        <v>2</v>
      </c>
      <c r="Y83" s="52">
        <f t="shared" si="166"/>
        <v>2</v>
      </c>
      <c r="Z83" s="52">
        <f t="shared" si="166"/>
        <v>2</v>
      </c>
      <c r="AA83" s="52">
        <f>$C$83</f>
        <v>2</v>
      </c>
      <c r="AB83" s="52">
        <f aca="true" t="shared" si="167" ref="AB83:AL83">$C$83</f>
        <v>2</v>
      </c>
      <c r="AC83" s="52">
        <f t="shared" si="167"/>
        <v>2</v>
      </c>
      <c r="AD83" s="52">
        <f t="shared" si="167"/>
        <v>2</v>
      </c>
      <c r="AE83" s="52">
        <f t="shared" si="167"/>
        <v>2</v>
      </c>
      <c r="AF83" s="52">
        <f t="shared" si="167"/>
        <v>2</v>
      </c>
      <c r="AG83" s="52">
        <f t="shared" si="167"/>
        <v>2</v>
      </c>
      <c r="AH83" s="52">
        <f t="shared" si="167"/>
        <v>2</v>
      </c>
      <c r="AI83" s="52">
        <f t="shared" si="167"/>
        <v>2</v>
      </c>
      <c r="AJ83" s="52">
        <f t="shared" si="167"/>
        <v>2</v>
      </c>
      <c r="AK83" s="52">
        <f t="shared" si="167"/>
        <v>2</v>
      </c>
      <c r="AL83" s="52">
        <f t="shared" si="167"/>
        <v>2</v>
      </c>
      <c r="AM83" s="52">
        <f>$D$83</f>
        <v>2</v>
      </c>
      <c r="AN83" s="52">
        <f aca="true" t="shared" si="168" ref="AN83:AX83">$D$83</f>
        <v>2</v>
      </c>
      <c r="AO83" s="52">
        <f t="shared" si="168"/>
        <v>2</v>
      </c>
      <c r="AP83" s="52">
        <f t="shared" si="168"/>
        <v>2</v>
      </c>
      <c r="AQ83" s="52">
        <f t="shared" si="168"/>
        <v>2</v>
      </c>
      <c r="AR83" s="52">
        <f t="shared" si="168"/>
        <v>2</v>
      </c>
      <c r="AS83" s="52">
        <f t="shared" si="168"/>
        <v>2</v>
      </c>
      <c r="AT83" s="52">
        <f t="shared" si="168"/>
        <v>2</v>
      </c>
      <c r="AU83" s="52">
        <f t="shared" si="168"/>
        <v>2</v>
      </c>
      <c r="AV83" s="52">
        <f t="shared" si="168"/>
        <v>2</v>
      </c>
      <c r="AW83" s="52">
        <f t="shared" si="168"/>
        <v>2</v>
      </c>
      <c r="AX83" s="52">
        <f t="shared" si="168"/>
        <v>2</v>
      </c>
      <c r="AZ83" s="116">
        <f>($G$83/12)*O83</f>
        <v>13000</v>
      </c>
      <c r="BA83" s="116">
        <f aca="true" t="shared" si="169" ref="BA83:BK83">($G$83/12)*P83</f>
        <v>13000</v>
      </c>
      <c r="BB83" s="116">
        <f t="shared" si="169"/>
        <v>13000</v>
      </c>
      <c r="BC83" s="116">
        <f t="shared" si="169"/>
        <v>13000</v>
      </c>
      <c r="BD83" s="116">
        <f t="shared" si="169"/>
        <v>13000</v>
      </c>
      <c r="BE83" s="116">
        <f t="shared" si="169"/>
        <v>13000</v>
      </c>
      <c r="BF83" s="116">
        <f t="shared" si="169"/>
        <v>13000</v>
      </c>
      <c r="BG83" s="116">
        <f t="shared" si="169"/>
        <v>13000</v>
      </c>
      <c r="BH83" s="116">
        <f t="shared" si="169"/>
        <v>13000</v>
      </c>
      <c r="BI83" s="116">
        <f t="shared" si="169"/>
        <v>13000</v>
      </c>
      <c r="BJ83" s="116">
        <f t="shared" si="169"/>
        <v>13000</v>
      </c>
      <c r="BK83" s="116">
        <f t="shared" si="169"/>
        <v>13000</v>
      </c>
      <c r="BL83" s="116">
        <f>($H$83/12)*AA83</f>
        <v>13390</v>
      </c>
      <c r="BM83" s="116">
        <f aca="true" t="shared" si="170" ref="BM83:BW83">($H$83/12)*AB83</f>
        <v>13390</v>
      </c>
      <c r="BN83" s="116">
        <f t="shared" si="170"/>
        <v>13390</v>
      </c>
      <c r="BO83" s="116">
        <f t="shared" si="170"/>
        <v>13390</v>
      </c>
      <c r="BP83" s="116">
        <f t="shared" si="170"/>
        <v>13390</v>
      </c>
      <c r="BQ83" s="116">
        <f t="shared" si="170"/>
        <v>13390</v>
      </c>
      <c r="BR83" s="116">
        <f t="shared" si="170"/>
        <v>13390</v>
      </c>
      <c r="BS83" s="116">
        <f t="shared" si="170"/>
        <v>13390</v>
      </c>
      <c r="BT83" s="116">
        <f t="shared" si="170"/>
        <v>13390</v>
      </c>
      <c r="BU83" s="116">
        <f t="shared" si="170"/>
        <v>13390</v>
      </c>
      <c r="BV83" s="116">
        <f t="shared" si="170"/>
        <v>13390</v>
      </c>
      <c r="BW83" s="116">
        <f t="shared" si="170"/>
        <v>13390</v>
      </c>
      <c r="BX83" s="116">
        <f>($I$83/12)*AM83</f>
        <v>13791.699999999999</v>
      </c>
      <c r="BY83" s="116">
        <f aca="true" t="shared" si="171" ref="BY83:CI83">($I$83/12)*AN83</f>
        <v>13791.699999999999</v>
      </c>
      <c r="BZ83" s="116">
        <f t="shared" si="171"/>
        <v>13791.699999999999</v>
      </c>
      <c r="CA83" s="116">
        <f t="shared" si="171"/>
        <v>13791.699999999999</v>
      </c>
      <c r="CB83" s="116">
        <f t="shared" si="171"/>
        <v>13791.699999999999</v>
      </c>
      <c r="CC83" s="116">
        <f t="shared" si="171"/>
        <v>13791.699999999999</v>
      </c>
      <c r="CD83" s="116">
        <f t="shared" si="171"/>
        <v>13791.699999999999</v>
      </c>
      <c r="CE83" s="116">
        <f t="shared" si="171"/>
        <v>13791.699999999999</v>
      </c>
      <c r="CF83" s="116">
        <f t="shared" si="171"/>
        <v>13791.699999999999</v>
      </c>
      <c r="CG83" s="116">
        <f t="shared" si="171"/>
        <v>13791.699999999999</v>
      </c>
      <c r="CH83" s="116">
        <f t="shared" si="171"/>
        <v>13791.699999999999</v>
      </c>
      <c r="CI83" s="119">
        <f t="shared" si="171"/>
        <v>13791.699999999999</v>
      </c>
      <c r="CJ83" s="116"/>
      <c r="CK83" s="116"/>
      <c r="CL83" s="116"/>
      <c r="CM83" s="116"/>
      <c r="CN83" s="116"/>
      <c r="CO83" s="116"/>
      <c r="CP83" s="116"/>
      <c r="CQ83" s="116"/>
      <c r="CR83" s="116"/>
      <c r="CS83" s="116"/>
      <c r="CT83" s="116"/>
      <c r="CU83" s="116"/>
      <c r="CV83" s="116"/>
      <c r="CW83" s="116"/>
      <c r="CX83" s="116"/>
      <c r="CY83" s="116"/>
      <c r="CZ83" s="116"/>
      <c r="DA83" s="116"/>
      <c r="DB83" s="116"/>
      <c r="DC83" s="116"/>
      <c r="DD83" s="116"/>
      <c r="DE83" s="116"/>
      <c r="DF83" s="116"/>
      <c r="DG83" s="116"/>
      <c r="DH83" s="116"/>
      <c r="DI83" s="116"/>
      <c r="DJ83" s="116"/>
    </row>
    <row r="84" spans="1:114" s="52" customFormat="1" ht="12.75" customHeight="1">
      <c r="A84" s="38" t="s">
        <v>195</v>
      </c>
      <c r="B84" s="38">
        <f>SUM(B82:B83)</f>
        <v>3</v>
      </c>
      <c r="C84" s="52">
        <f>SUM(C82:C83)</f>
        <v>3</v>
      </c>
      <c r="D84" s="52">
        <f>SUM(D82:D83)</f>
        <v>3</v>
      </c>
      <c r="E84" s="248"/>
      <c r="F84" s="118"/>
      <c r="G84" s="116"/>
      <c r="H84" s="116"/>
      <c r="I84" s="116"/>
      <c r="J84" s="248"/>
      <c r="K84" s="214">
        <f>SUM(K82:K83)</f>
        <v>214500</v>
      </c>
      <c r="L84" s="215">
        <f>SUM(L82:L83)</f>
        <v>241020</v>
      </c>
      <c r="M84" s="215">
        <f>SUM(M82:M83)</f>
        <v>248250.60000000003</v>
      </c>
      <c r="N84" s="248"/>
      <c r="O84" s="52">
        <f aca="true" t="shared" si="172" ref="O84:AW84">SUM(O82:O83)</f>
        <v>2</v>
      </c>
      <c r="P84" s="52">
        <f t="shared" si="172"/>
        <v>2</v>
      </c>
      <c r="Q84" s="52">
        <f t="shared" si="172"/>
        <v>2</v>
      </c>
      <c r="R84" s="52">
        <f t="shared" si="172"/>
        <v>3</v>
      </c>
      <c r="S84" s="52">
        <f t="shared" si="172"/>
        <v>3</v>
      </c>
      <c r="T84" s="52">
        <f t="shared" si="172"/>
        <v>3</v>
      </c>
      <c r="U84" s="52">
        <f t="shared" si="172"/>
        <v>3</v>
      </c>
      <c r="V84" s="52">
        <f t="shared" si="172"/>
        <v>3</v>
      </c>
      <c r="W84" s="52">
        <f t="shared" si="172"/>
        <v>3</v>
      </c>
      <c r="X84" s="52">
        <f t="shared" si="172"/>
        <v>3</v>
      </c>
      <c r="Y84" s="52">
        <f t="shared" si="172"/>
        <v>3</v>
      </c>
      <c r="Z84" s="52">
        <f t="shared" si="172"/>
        <v>3</v>
      </c>
      <c r="AA84" s="52">
        <f t="shared" si="172"/>
        <v>3</v>
      </c>
      <c r="AB84" s="52">
        <f t="shared" si="172"/>
        <v>3</v>
      </c>
      <c r="AC84" s="52">
        <f t="shared" si="172"/>
        <v>3</v>
      </c>
      <c r="AD84" s="52">
        <f t="shared" si="172"/>
        <v>3</v>
      </c>
      <c r="AE84" s="52">
        <f t="shared" si="172"/>
        <v>3</v>
      </c>
      <c r="AF84" s="52">
        <f t="shared" si="172"/>
        <v>3</v>
      </c>
      <c r="AG84" s="52">
        <f t="shared" si="172"/>
        <v>3</v>
      </c>
      <c r="AH84" s="52">
        <f t="shared" si="172"/>
        <v>3</v>
      </c>
      <c r="AI84" s="52">
        <f t="shared" si="172"/>
        <v>3</v>
      </c>
      <c r="AJ84" s="52">
        <f t="shared" si="172"/>
        <v>3</v>
      </c>
      <c r="AK84" s="52">
        <f t="shared" si="172"/>
        <v>3</v>
      </c>
      <c r="AL84" s="52">
        <f t="shared" si="172"/>
        <v>3</v>
      </c>
      <c r="AM84" s="52">
        <f t="shared" si="172"/>
        <v>3</v>
      </c>
      <c r="AN84" s="52">
        <f t="shared" si="172"/>
        <v>3</v>
      </c>
      <c r="AO84" s="52">
        <f t="shared" si="172"/>
        <v>3</v>
      </c>
      <c r="AP84" s="52">
        <f t="shared" si="172"/>
        <v>3</v>
      </c>
      <c r="AQ84" s="52">
        <f t="shared" si="172"/>
        <v>3</v>
      </c>
      <c r="AR84" s="52">
        <f t="shared" si="172"/>
        <v>3</v>
      </c>
      <c r="AS84" s="52">
        <f t="shared" si="172"/>
        <v>3</v>
      </c>
      <c r="AT84" s="52">
        <f t="shared" si="172"/>
        <v>3</v>
      </c>
      <c r="AU84" s="52">
        <f t="shared" si="172"/>
        <v>3</v>
      </c>
      <c r="AV84" s="52">
        <f t="shared" si="172"/>
        <v>3</v>
      </c>
      <c r="AW84" s="52">
        <f t="shared" si="172"/>
        <v>3</v>
      </c>
      <c r="AX84" s="52">
        <f>SUM(AX82:AX83)</f>
        <v>3</v>
      </c>
      <c r="AZ84" s="116">
        <f aca="true" t="shared" si="173" ref="AZ84:CH84">SUM(AZ82:AZ83)</f>
        <v>13000</v>
      </c>
      <c r="BA84" s="116">
        <f t="shared" si="173"/>
        <v>13000</v>
      </c>
      <c r="BB84" s="116">
        <f t="shared" si="173"/>
        <v>13000</v>
      </c>
      <c r="BC84" s="116">
        <f t="shared" si="173"/>
        <v>19500</v>
      </c>
      <c r="BD84" s="116">
        <f t="shared" si="173"/>
        <v>19500</v>
      </c>
      <c r="BE84" s="116">
        <f t="shared" si="173"/>
        <v>19500</v>
      </c>
      <c r="BF84" s="116">
        <f t="shared" si="173"/>
        <v>19500</v>
      </c>
      <c r="BG84" s="116">
        <f t="shared" si="173"/>
        <v>19500</v>
      </c>
      <c r="BH84" s="116">
        <f t="shared" si="173"/>
        <v>19500</v>
      </c>
      <c r="BI84" s="116">
        <f t="shared" si="173"/>
        <v>19500</v>
      </c>
      <c r="BJ84" s="116">
        <f t="shared" si="173"/>
        <v>19500</v>
      </c>
      <c r="BK84" s="116">
        <f t="shared" si="173"/>
        <v>19500</v>
      </c>
      <c r="BL84" s="116">
        <f t="shared" si="173"/>
        <v>20085</v>
      </c>
      <c r="BM84" s="116">
        <f t="shared" si="173"/>
        <v>20085</v>
      </c>
      <c r="BN84" s="116">
        <f t="shared" si="173"/>
        <v>20085</v>
      </c>
      <c r="BO84" s="116">
        <f t="shared" si="173"/>
        <v>20085</v>
      </c>
      <c r="BP84" s="116">
        <f t="shared" si="173"/>
        <v>20085</v>
      </c>
      <c r="BQ84" s="116">
        <f t="shared" si="173"/>
        <v>20085</v>
      </c>
      <c r="BR84" s="116">
        <f t="shared" si="173"/>
        <v>20085</v>
      </c>
      <c r="BS84" s="116">
        <f t="shared" si="173"/>
        <v>20085</v>
      </c>
      <c r="BT84" s="116">
        <f t="shared" si="173"/>
        <v>20085</v>
      </c>
      <c r="BU84" s="116">
        <f t="shared" si="173"/>
        <v>20085</v>
      </c>
      <c r="BV84" s="116">
        <f t="shared" si="173"/>
        <v>20085</v>
      </c>
      <c r="BW84" s="116">
        <f t="shared" si="173"/>
        <v>20085</v>
      </c>
      <c r="BX84" s="116">
        <f t="shared" si="173"/>
        <v>20687.55</v>
      </c>
      <c r="BY84" s="116">
        <f t="shared" si="173"/>
        <v>20687.55</v>
      </c>
      <c r="BZ84" s="116">
        <f t="shared" si="173"/>
        <v>20687.55</v>
      </c>
      <c r="CA84" s="116">
        <f t="shared" si="173"/>
        <v>20687.55</v>
      </c>
      <c r="CB84" s="116">
        <f t="shared" si="173"/>
        <v>20687.55</v>
      </c>
      <c r="CC84" s="116">
        <f t="shared" si="173"/>
        <v>20687.55</v>
      </c>
      <c r="CD84" s="116">
        <f t="shared" si="173"/>
        <v>20687.55</v>
      </c>
      <c r="CE84" s="116">
        <f t="shared" si="173"/>
        <v>20687.55</v>
      </c>
      <c r="CF84" s="116">
        <f t="shared" si="173"/>
        <v>20687.55</v>
      </c>
      <c r="CG84" s="116">
        <f t="shared" si="173"/>
        <v>20687.55</v>
      </c>
      <c r="CH84" s="116">
        <f t="shared" si="173"/>
        <v>20687.55</v>
      </c>
      <c r="CI84" s="119">
        <f>SUM(CI82:CI83)</f>
        <v>20687.55</v>
      </c>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c r="DG84" s="116"/>
      <c r="DH84" s="116"/>
      <c r="DI84" s="116"/>
      <c r="DJ84" s="116"/>
    </row>
    <row r="85" spans="1:114" s="26" customFormat="1" ht="12.75" customHeight="1">
      <c r="A85" s="211" t="s">
        <v>407</v>
      </c>
      <c r="B85" s="32"/>
      <c r="E85" s="246"/>
      <c r="F85" s="111"/>
      <c r="G85" s="23"/>
      <c r="H85" s="23"/>
      <c r="I85" s="23"/>
      <c r="J85" s="246"/>
      <c r="K85" s="158">
        <f>K84*B6</f>
        <v>53625</v>
      </c>
      <c r="L85" s="153">
        <f>L84*C6</f>
        <v>60255</v>
      </c>
      <c r="M85" s="153">
        <f>M84*D6</f>
        <v>62062.65000000001</v>
      </c>
      <c r="N85" s="246"/>
      <c r="AZ85" s="23">
        <f aca="true" t="shared" si="174" ref="AZ85:BK85">AZ84*$B$6</f>
        <v>3250</v>
      </c>
      <c r="BA85" s="23">
        <f t="shared" si="174"/>
        <v>3250</v>
      </c>
      <c r="BB85" s="23">
        <f t="shared" si="174"/>
        <v>3250</v>
      </c>
      <c r="BC85" s="23">
        <f t="shared" si="174"/>
        <v>4875</v>
      </c>
      <c r="BD85" s="23">
        <f t="shared" si="174"/>
        <v>4875</v>
      </c>
      <c r="BE85" s="23">
        <f t="shared" si="174"/>
        <v>4875</v>
      </c>
      <c r="BF85" s="23">
        <f t="shared" si="174"/>
        <v>4875</v>
      </c>
      <c r="BG85" s="23">
        <f t="shared" si="174"/>
        <v>4875</v>
      </c>
      <c r="BH85" s="23">
        <f t="shared" si="174"/>
        <v>4875</v>
      </c>
      <c r="BI85" s="23">
        <f t="shared" si="174"/>
        <v>4875</v>
      </c>
      <c r="BJ85" s="23">
        <f t="shared" si="174"/>
        <v>4875</v>
      </c>
      <c r="BK85" s="23">
        <f t="shared" si="174"/>
        <v>4875</v>
      </c>
      <c r="BL85" s="23">
        <f aca="true" t="shared" si="175" ref="BL85:BW85">BL84*$C$6</f>
        <v>5021.25</v>
      </c>
      <c r="BM85" s="23">
        <f t="shared" si="175"/>
        <v>5021.25</v>
      </c>
      <c r="BN85" s="23">
        <f t="shared" si="175"/>
        <v>5021.25</v>
      </c>
      <c r="BO85" s="23">
        <f t="shared" si="175"/>
        <v>5021.25</v>
      </c>
      <c r="BP85" s="23">
        <f t="shared" si="175"/>
        <v>5021.25</v>
      </c>
      <c r="BQ85" s="23">
        <f t="shared" si="175"/>
        <v>5021.25</v>
      </c>
      <c r="BR85" s="23">
        <f t="shared" si="175"/>
        <v>5021.25</v>
      </c>
      <c r="BS85" s="23">
        <f t="shared" si="175"/>
        <v>5021.25</v>
      </c>
      <c r="BT85" s="23">
        <f t="shared" si="175"/>
        <v>5021.25</v>
      </c>
      <c r="BU85" s="23">
        <f t="shared" si="175"/>
        <v>5021.25</v>
      </c>
      <c r="BV85" s="23">
        <f t="shared" si="175"/>
        <v>5021.25</v>
      </c>
      <c r="BW85" s="23">
        <f t="shared" si="175"/>
        <v>5021.25</v>
      </c>
      <c r="BX85" s="23">
        <f aca="true" t="shared" si="176" ref="BX85:CI85">BX84*$D$6</f>
        <v>5171.8875</v>
      </c>
      <c r="BY85" s="23">
        <f t="shared" si="176"/>
        <v>5171.8875</v>
      </c>
      <c r="BZ85" s="23">
        <f t="shared" si="176"/>
        <v>5171.8875</v>
      </c>
      <c r="CA85" s="23">
        <f t="shared" si="176"/>
        <v>5171.8875</v>
      </c>
      <c r="CB85" s="23">
        <f t="shared" si="176"/>
        <v>5171.8875</v>
      </c>
      <c r="CC85" s="23">
        <f t="shared" si="176"/>
        <v>5171.8875</v>
      </c>
      <c r="CD85" s="23">
        <f t="shared" si="176"/>
        <v>5171.8875</v>
      </c>
      <c r="CE85" s="23">
        <f t="shared" si="176"/>
        <v>5171.8875</v>
      </c>
      <c r="CF85" s="23">
        <f t="shared" si="176"/>
        <v>5171.8875</v>
      </c>
      <c r="CG85" s="23">
        <f t="shared" si="176"/>
        <v>5171.8875</v>
      </c>
      <c r="CH85" s="23">
        <f t="shared" si="176"/>
        <v>5171.8875</v>
      </c>
      <c r="CI85" s="112">
        <f t="shared" si="176"/>
        <v>5171.8875</v>
      </c>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row>
    <row r="86" spans="1:114" s="26" customFormat="1" ht="12.75" customHeight="1" thickBot="1">
      <c r="A86" s="265" t="s">
        <v>252</v>
      </c>
      <c r="B86" s="159"/>
      <c r="C86" s="138"/>
      <c r="D86" s="138"/>
      <c r="E86" s="256"/>
      <c r="F86" s="125"/>
      <c r="G86" s="126"/>
      <c r="H86" s="126"/>
      <c r="I86" s="126"/>
      <c r="J86" s="256"/>
      <c r="K86" s="257">
        <f>K84+K85</f>
        <v>268125</v>
      </c>
      <c r="L86" s="258">
        <f>L84+L85</f>
        <v>301275</v>
      </c>
      <c r="M86" s="258">
        <f>M84+M85</f>
        <v>310313.25000000006</v>
      </c>
      <c r="N86" s="256"/>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26">
        <f aca="true" t="shared" si="177" ref="AZ86:CI86">AZ84+AZ85</f>
        <v>16250</v>
      </c>
      <c r="BA86" s="126">
        <f t="shared" si="177"/>
        <v>16250</v>
      </c>
      <c r="BB86" s="126">
        <f t="shared" si="177"/>
        <v>16250</v>
      </c>
      <c r="BC86" s="126">
        <f t="shared" si="177"/>
        <v>24375</v>
      </c>
      <c r="BD86" s="126">
        <f t="shared" si="177"/>
        <v>24375</v>
      </c>
      <c r="BE86" s="126">
        <f t="shared" si="177"/>
        <v>24375</v>
      </c>
      <c r="BF86" s="126">
        <f t="shared" si="177"/>
        <v>24375</v>
      </c>
      <c r="BG86" s="126">
        <f t="shared" si="177"/>
        <v>24375</v>
      </c>
      <c r="BH86" s="126">
        <f t="shared" si="177"/>
        <v>24375</v>
      </c>
      <c r="BI86" s="126">
        <f t="shared" si="177"/>
        <v>24375</v>
      </c>
      <c r="BJ86" s="126">
        <f t="shared" si="177"/>
        <v>24375</v>
      </c>
      <c r="BK86" s="126">
        <f t="shared" si="177"/>
        <v>24375</v>
      </c>
      <c r="BL86" s="126">
        <f t="shared" si="177"/>
        <v>25106.25</v>
      </c>
      <c r="BM86" s="126">
        <f t="shared" si="177"/>
        <v>25106.25</v>
      </c>
      <c r="BN86" s="126">
        <f t="shared" si="177"/>
        <v>25106.25</v>
      </c>
      <c r="BO86" s="126">
        <f t="shared" si="177"/>
        <v>25106.25</v>
      </c>
      <c r="BP86" s="126">
        <f t="shared" si="177"/>
        <v>25106.25</v>
      </c>
      <c r="BQ86" s="126">
        <f t="shared" si="177"/>
        <v>25106.25</v>
      </c>
      <c r="BR86" s="126">
        <f t="shared" si="177"/>
        <v>25106.25</v>
      </c>
      <c r="BS86" s="126">
        <f t="shared" si="177"/>
        <v>25106.25</v>
      </c>
      <c r="BT86" s="126">
        <f t="shared" si="177"/>
        <v>25106.25</v>
      </c>
      <c r="BU86" s="126">
        <f t="shared" si="177"/>
        <v>25106.25</v>
      </c>
      <c r="BV86" s="126">
        <f t="shared" si="177"/>
        <v>25106.25</v>
      </c>
      <c r="BW86" s="126">
        <f t="shared" si="177"/>
        <v>25106.25</v>
      </c>
      <c r="BX86" s="126">
        <f t="shared" si="177"/>
        <v>25859.4375</v>
      </c>
      <c r="BY86" s="126">
        <f t="shared" si="177"/>
        <v>25859.4375</v>
      </c>
      <c r="BZ86" s="126">
        <f t="shared" si="177"/>
        <v>25859.4375</v>
      </c>
      <c r="CA86" s="126">
        <f t="shared" si="177"/>
        <v>25859.4375</v>
      </c>
      <c r="CB86" s="126">
        <f t="shared" si="177"/>
        <v>25859.4375</v>
      </c>
      <c r="CC86" s="126">
        <f t="shared" si="177"/>
        <v>25859.4375</v>
      </c>
      <c r="CD86" s="126">
        <f t="shared" si="177"/>
        <v>25859.4375</v>
      </c>
      <c r="CE86" s="126">
        <f t="shared" si="177"/>
        <v>25859.4375</v>
      </c>
      <c r="CF86" s="126">
        <f t="shared" si="177"/>
        <v>25859.4375</v>
      </c>
      <c r="CG86" s="126">
        <f t="shared" si="177"/>
        <v>25859.4375</v>
      </c>
      <c r="CH86" s="126">
        <f t="shared" si="177"/>
        <v>25859.4375</v>
      </c>
      <c r="CI86" s="127">
        <f t="shared" si="177"/>
        <v>25859.4375</v>
      </c>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row>
    <row r="87" spans="1:87" ht="12.75" customHeight="1">
      <c r="A87" s="208"/>
      <c r="B87" s="208"/>
      <c r="C87" s="209"/>
      <c r="D87" s="209"/>
      <c r="E87" s="254"/>
      <c r="F87" s="259"/>
      <c r="G87" s="260"/>
      <c r="H87" s="260"/>
      <c r="I87" s="260"/>
      <c r="J87" s="254"/>
      <c r="K87" s="261"/>
      <c r="L87" s="262"/>
      <c r="M87" s="262"/>
      <c r="N87" s="26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row>
    <row r="88" spans="1:87" s="217" customFormat="1" ht="12.75" customHeight="1" thickBot="1">
      <c r="A88" s="218"/>
      <c r="B88" s="218"/>
      <c r="E88" s="249"/>
      <c r="F88" s="219"/>
      <c r="G88" s="220"/>
      <c r="H88" s="220"/>
      <c r="I88" s="220"/>
      <c r="J88" s="249"/>
      <c r="K88" s="218"/>
      <c r="N88" s="267"/>
      <c r="AZ88" s="220"/>
      <c r="BA88" s="220"/>
      <c r="BB88" s="220"/>
      <c r="BC88" s="220"/>
      <c r="BD88" s="220"/>
      <c r="BE88" s="220"/>
      <c r="BF88" s="220"/>
      <c r="BG88" s="220"/>
      <c r="BH88" s="220"/>
      <c r="BI88" s="220"/>
      <c r="BJ88" s="220"/>
      <c r="BK88" s="220"/>
      <c r="BL88" s="220"/>
      <c r="BM88" s="220"/>
      <c r="BN88" s="220"/>
      <c r="BO88" s="220"/>
      <c r="BP88" s="220"/>
      <c r="BQ88" s="220"/>
      <c r="BR88" s="220"/>
      <c r="BS88" s="220"/>
      <c r="BT88" s="220"/>
      <c r="BU88" s="220"/>
      <c r="BV88" s="220"/>
      <c r="BW88" s="220"/>
      <c r="BX88" s="220"/>
      <c r="BY88" s="220"/>
      <c r="BZ88" s="220"/>
      <c r="CA88" s="220"/>
      <c r="CB88" s="220"/>
      <c r="CC88" s="220"/>
      <c r="CD88" s="220"/>
      <c r="CE88" s="220"/>
      <c r="CF88" s="220"/>
      <c r="CG88" s="220"/>
      <c r="CH88" s="220"/>
      <c r="CI88" s="220"/>
    </row>
    <row r="89" spans="1:87" ht="12.75" customHeight="1" thickTop="1">
      <c r="A89" s="162" t="s">
        <v>326</v>
      </c>
      <c r="B89" s="221">
        <f>B63+B70+B77+B84</f>
        <v>39</v>
      </c>
      <c r="C89" s="222">
        <f>C63+C70+C77+C84</f>
        <v>47</v>
      </c>
      <c r="D89" s="222">
        <f>D63+D70+D77+D84</f>
        <v>54</v>
      </c>
      <c r="E89" s="80"/>
      <c r="F89" s="162"/>
      <c r="G89" s="223"/>
      <c r="H89" s="224"/>
      <c r="I89" s="224"/>
      <c r="J89" s="246"/>
      <c r="K89" s="32"/>
      <c r="L89" s="26"/>
      <c r="M89" s="26"/>
      <c r="N89" s="268"/>
      <c r="AZ89" s="225"/>
      <c r="BA89" s="225"/>
      <c r="BB89" s="225"/>
      <c r="BC89" s="225"/>
      <c r="BD89" s="225"/>
      <c r="BE89" s="225"/>
      <c r="BF89" s="225"/>
      <c r="BG89" s="225"/>
      <c r="BH89" s="225"/>
      <c r="BI89" s="225"/>
      <c r="BJ89" s="225"/>
      <c r="BK89" s="225"/>
      <c r="BL89" s="225"/>
      <c r="BM89" s="225"/>
      <c r="BN89" s="225"/>
      <c r="BO89" s="225"/>
      <c r="BP89" s="225"/>
      <c r="BQ89" s="225"/>
      <c r="BR89" s="225"/>
      <c r="BS89" s="225"/>
      <c r="BT89" s="225"/>
      <c r="BU89" s="225"/>
      <c r="BV89" s="225"/>
      <c r="BW89" s="225"/>
      <c r="BX89" s="225"/>
      <c r="BY89" s="225"/>
      <c r="BZ89" s="225"/>
      <c r="CA89" s="225"/>
      <c r="CB89" s="225"/>
      <c r="CC89" s="225"/>
      <c r="CD89" s="225"/>
      <c r="CE89" s="225"/>
      <c r="CF89" s="225"/>
      <c r="CG89" s="225"/>
      <c r="CH89" s="225"/>
      <c r="CI89" s="225"/>
    </row>
    <row r="90" spans="1:87" ht="12.75" customHeight="1">
      <c r="A90" s="57" t="s">
        <v>142</v>
      </c>
      <c r="B90" s="32"/>
      <c r="C90" s="26"/>
      <c r="D90" s="26"/>
      <c r="E90" s="246"/>
      <c r="F90" s="32"/>
      <c r="G90" s="26"/>
      <c r="H90" s="26"/>
      <c r="I90" s="26"/>
      <c r="J90" s="246"/>
      <c r="K90" s="226">
        <f>K65+K72+K79+K86</f>
        <v>2119687.5</v>
      </c>
      <c r="L90" s="227">
        <f>L65+L72+L79+L86</f>
        <v>4632525</v>
      </c>
      <c r="M90" s="227">
        <f>M65+M72+M79+M86</f>
        <v>5481235.125</v>
      </c>
      <c r="N90" s="268"/>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row>
    <row r="91" spans="1:87" ht="12.75" customHeight="1" thickBot="1">
      <c r="A91" s="159"/>
      <c r="B91" s="159"/>
      <c r="C91" s="138"/>
      <c r="D91" s="138"/>
      <c r="E91" s="256"/>
      <c r="F91" s="159"/>
      <c r="G91" s="138"/>
      <c r="H91" s="138"/>
      <c r="I91" s="138"/>
      <c r="J91" s="256"/>
      <c r="K91" s="159"/>
      <c r="L91" s="138"/>
      <c r="M91" s="138"/>
      <c r="N91" s="269"/>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row>
    <row r="93" spans="1:87" ht="12.75" customHeight="1">
      <c r="A93" s="228" t="s">
        <v>143</v>
      </c>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36"/>
      <c r="AV93" s="136"/>
      <c r="AW93" s="136"/>
      <c r="AX93" s="136"/>
      <c r="AY93" s="136"/>
      <c r="AZ93" s="136"/>
      <c r="BA93" s="136"/>
      <c r="BB93" s="136"/>
      <c r="BC93" s="136"/>
      <c r="BD93" s="136"/>
      <c r="BE93" s="136"/>
      <c r="BF93" s="136"/>
      <c r="BG93" s="136"/>
      <c r="BH93" s="136"/>
      <c r="BI93" s="136"/>
      <c r="BJ93" s="136"/>
      <c r="BK93" s="136"/>
      <c r="BL93" s="136"/>
      <c r="BM93" s="136"/>
      <c r="BN93" s="136"/>
      <c r="BO93" s="136"/>
      <c r="BP93" s="136"/>
      <c r="BQ93" s="136"/>
      <c r="BR93" s="136"/>
      <c r="BS93" s="136"/>
      <c r="BT93" s="136"/>
      <c r="BU93" s="136"/>
      <c r="BV93" s="136"/>
      <c r="BW93" s="136"/>
      <c r="BX93" s="136"/>
      <c r="BY93" s="136"/>
      <c r="BZ93" s="136"/>
      <c r="CA93" s="136"/>
      <c r="CB93" s="136"/>
      <c r="CC93" s="136"/>
      <c r="CD93" s="136"/>
      <c r="CE93" s="136"/>
      <c r="CF93" s="136"/>
      <c r="CG93" s="136"/>
      <c r="CH93" s="136"/>
      <c r="CI93" s="136"/>
    </row>
    <row r="95" ht="12.75" customHeight="1" thickBot="1">
      <c r="K95" s="136"/>
    </row>
    <row r="96" spans="1:87" ht="13.5">
      <c r="A96" s="270" t="s">
        <v>146</v>
      </c>
      <c r="B96" s="208" t="s">
        <v>321</v>
      </c>
      <c r="C96" s="209"/>
      <c r="D96" s="209"/>
      <c r="E96" s="254"/>
      <c r="F96" s="208" t="s">
        <v>257</v>
      </c>
      <c r="G96" s="209"/>
      <c r="H96" s="209"/>
      <c r="I96" s="209"/>
      <c r="J96" s="254"/>
      <c r="K96" s="208" t="s">
        <v>247</v>
      </c>
      <c r="L96" s="209"/>
      <c r="M96" s="209"/>
      <c r="N96" s="254"/>
      <c r="O96" s="54" t="s">
        <v>196</v>
      </c>
      <c r="P96" s="54"/>
      <c r="Q96" s="54"/>
      <c r="R96" s="54"/>
      <c r="S96" s="54"/>
      <c r="T96" s="54"/>
      <c r="U96" s="54"/>
      <c r="V96" s="54"/>
      <c r="W96" s="54"/>
      <c r="X96" s="54"/>
      <c r="Y96" s="54"/>
      <c r="Z96" s="54"/>
      <c r="AA96" s="54" t="s">
        <v>197</v>
      </c>
      <c r="AB96" s="54"/>
      <c r="AC96" s="54"/>
      <c r="AD96" s="54"/>
      <c r="AE96" s="54"/>
      <c r="AF96" s="54"/>
      <c r="AG96" s="54"/>
      <c r="AH96" s="54"/>
      <c r="AI96" s="54"/>
      <c r="AJ96" s="54"/>
      <c r="AK96" s="54"/>
      <c r="AL96" s="54"/>
      <c r="AM96" s="54" t="s">
        <v>198</v>
      </c>
      <c r="AN96" s="54"/>
      <c r="AO96" s="54"/>
      <c r="AP96" s="54"/>
      <c r="AQ96" s="54"/>
      <c r="AR96" s="54"/>
      <c r="AS96" s="54"/>
      <c r="AT96" s="54"/>
      <c r="AU96" s="54"/>
      <c r="AV96" s="54"/>
      <c r="AW96" s="54"/>
      <c r="AX96" s="54"/>
      <c r="AY96" s="209"/>
      <c r="AZ96" s="255" t="s">
        <v>196</v>
      </c>
      <c r="BA96" s="209"/>
      <c r="BB96" s="209"/>
      <c r="BC96" s="209"/>
      <c r="BD96" s="54"/>
      <c r="BE96" s="54"/>
      <c r="BF96" s="54"/>
      <c r="BG96" s="54"/>
      <c r="BH96" s="54"/>
      <c r="BI96" s="54"/>
      <c r="BJ96" s="54"/>
      <c r="BK96" s="54"/>
      <c r="BL96" s="255" t="s">
        <v>197</v>
      </c>
      <c r="BM96" s="209"/>
      <c r="BN96" s="209"/>
      <c r="BO96" s="209"/>
      <c r="BP96" s="54"/>
      <c r="BQ96" s="54"/>
      <c r="BR96" s="54"/>
      <c r="BS96" s="54"/>
      <c r="BT96" s="54"/>
      <c r="BU96" s="54"/>
      <c r="BV96" s="54"/>
      <c r="BW96" s="54"/>
      <c r="BX96" s="255" t="s">
        <v>198</v>
      </c>
      <c r="BY96" s="209"/>
      <c r="BZ96" s="209"/>
      <c r="CA96" s="209"/>
      <c r="CB96" s="54"/>
      <c r="CC96" s="54"/>
      <c r="CD96" s="54"/>
      <c r="CE96" s="54"/>
      <c r="CF96" s="54"/>
      <c r="CG96" s="54"/>
      <c r="CH96" s="54"/>
      <c r="CI96" s="39"/>
    </row>
    <row r="97" spans="1:87" ht="13.5">
      <c r="A97" s="32"/>
      <c r="B97" s="32" t="s">
        <v>196</v>
      </c>
      <c r="C97" s="26" t="s">
        <v>197</v>
      </c>
      <c r="D97" s="26" t="s">
        <v>198</v>
      </c>
      <c r="E97" s="246"/>
      <c r="F97" s="210" t="s">
        <v>147</v>
      </c>
      <c r="G97" s="55" t="s">
        <v>196</v>
      </c>
      <c r="H97" s="55" t="s">
        <v>197</v>
      </c>
      <c r="I97" s="55" t="s">
        <v>198</v>
      </c>
      <c r="J97" s="246"/>
      <c r="K97" s="32" t="s">
        <v>196</v>
      </c>
      <c r="L97" s="26" t="s">
        <v>197</v>
      </c>
      <c r="M97" s="26" t="s">
        <v>198</v>
      </c>
      <c r="N97" s="246"/>
      <c r="O97" s="41" t="s">
        <v>200</v>
      </c>
      <c r="P97" s="41" t="s">
        <v>201</v>
      </c>
      <c r="Q97" s="41" t="s">
        <v>202</v>
      </c>
      <c r="R97" s="41" t="s">
        <v>203</v>
      </c>
      <c r="S97" s="41" t="s">
        <v>477</v>
      </c>
      <c r="T97" s="41" t="s">
        <v>357</v>
      </c>
      <c r="U97" s="41" t="s">
        <v>358</v>
      </c>
      <c r="V97" s="41" t="s">
        <v>359</v>
      </c>
      <c r="W97" s="41" t="s">
        <v>360</v>
      </c>
      <c r="X97" s="41" t="s">
        <v>361</v>
      </c>
      <c r="Y97" s="41" t="s">
        <v>362</v>
      </c>
      <c r="Z97" s="41" t="s">
        <v>363</v>
      </c>
      <c r="AA97" s="41" t="s">
        <v>200</v>
      </c>
      <c r="AB97" s="41" t="s">
        <v>201</v>
      </c>
      <c r="AC97" s="41" t="s">
        <v>202</v>
      </c>
      <c r="AD97" s="41" t="s">
        <v>203</v>
      </c>
      <c r="AE97" s="41" t="s">
        <v>477</v>
      </c>
      <c r="AF97" s="41" t="s">
        <v>357</v>
      </c>
      <c r="AG97" s="41" t="s">
        <v>358</v>
      </c>
      <c r="AH97" s="41" t="s">
        <v>359</v>
      </c>
      <c r="AI97" s="41" t="s">
        <v>360</v>
      </c>
      <c r="AJ97" s="41" t="s">
        <v>361</v>
      </c>
      <c r="AK97" s="41" t="s">
        <v>362</v>
      </c>
      <c r="AL97" s="41" t="s">
        <v>363</v>
      </c>
      <c r="AM97" s="43" t="s">
        <v>200</v>
      </c>
      <c r="AN97" s="43" t="s">
        <v>201</v>
      </c>
      <c r="AO97" s="43" t="s">
        <v>202</v>
      </c>
      <c r="AP97" s="43" t="s">
        <v>203</v>
      </c>
      <c r="AQ97" s="43" t="s">
        <v>477</v>
      </c>
      <c r="AR97" s="43" t="s">
        <v>357</v>
      </c>
      <c r="AS97" s="43" t="s">
        <v>358</v>
      </c>
      <c r="AT97" s="43" t="s">
        <v>359</v>
      </c>
      <c r="AU97" s="43" t="s">
        <v>360</v>
      </c>
      <c r="AV97" s="43" t="s">
        <v>361</v>
      </c>
      <c r="AW97" s="43" t="s">
        <v>362</v>
      </c>
      <c r="AX97" s="43" t="s">
        <v>363</v>
      </c>
      <c r="AY97" s="26"/>
      <c r="AZ97" s="41" t="s">
        <v>200</v>
      </c>
      <c r="BA97" s="41" t="s">
        <v>201</v>
      </c>
      <c r="BB97" s="41" t="s">
        <v>202</v>
      </c>
      <c r="BC97" s="41" t="s">
        <v>203</v>
      </c>
      <c r="BD97" s="41" t="s">
        <v>477</v>
      </c>
      <c r="BE97" s="41" t="s">
        <v>357</v>
      </c>
      <c r="BF97" s="41" t="s">
        <v>358</v>
      </c>
      <c r="BG97" s="41" t="s">
        <v>359</v>
      </c>
      <c r="BH97" s="41" t="s">
        <v>360</v>
      </c>
      <c r="BI97" s="41" t="s">
        <v>361</v>
      </c>
      <c r="BJ97" s="41" t="s">
        <v>362</v>
      </c>
      <c r="BK97" s="41" t="s">
        <v>363</v>
      </c>
      <c r="BL97" s="41" t="s">
        <v>200</v>
      </c>
      <c r="BM97" s="41" t="s">
        <v>201</v>
      </c>
      <c r="BN97" s="41" t="s">
        <v>202</v>
      </c>
      <c r="BO97" s="41" t="s">
        <v>203</v>
      </c>
      <c r="BP97" s="41" t="s">
        <v>477</v>
      </c>
      <c r="BQ97" s="41" t="s">
        <v>357</v>
      </c>
      <c r="BR97" s="41" t="s">
        <v>358</v>
      </c>
      <c r="BS97" s="41" t="s">
        <v>359</v>
      </c>
      <c r="BT97" s="41" t="s">
        <v>360</v>
      </c>
      <c r="BU97" s="41" t="s">
        <v>361</v>
      </c>
      <c r="BV97" s="41" t="s">
        <v>362</v>
      </c>
      <c r="BW97" s="41" t="s">
        <v>363</v>
      </c>
      <c r="BX97" s="43" t="s">
        <v>200</v>
      </c>
      <c r="BY97" s="43" t="s">
        <v>201</v>
      </c>
      <c r="BZ97" s="43" t="s">
        <v>202</v>
      </c>
      <c r="CA97" s="43" t="s">
        <v>203</v>
      </c>
      <c r="CB97" s="43" t="s">
        <v>477</v>
      </c>
      <c r="CC97" s="43" t="s">
        <v>357</v>
      </c>
      <c r="CD97" s="43" t="s">
        <v>358</v>
      </c>
      <c r="CE97" s="43" t="s">
        <v>359</v>
      </c>
      <c r="CF97" s="43" t="s">
        <v>360</v>
      </c>
      <c r="CG97" s="43" t="s">
        <v>361</v>
      </c>
      <c r="CH97" s="43" t="s">
        <v>362</v>
      </c>
      <c r="CI97" s="106" t="s">
        <v>363</v>
      </c>
    </row>
    <row r="98" spans="1:87" ht="13.5">
      <c r="A98" s="271" t="s">
        <v>148</v>
      </c>
      <c r="B98" s="32"/>
      <c r="C98" s="26"/>
      <c r="D98" s="26"/>
      <c r="E98" s="246"/>
      <c r="F98" s="111"/>
      <c r="G98" s="23"/>
      <c r="H98" s="23"/>
      <c r="I98" s="23"/>
      <c r="J98" s="246"/>
      <c r="K98" s="32"/>
      <c r="L98" s="26"/>
      <c r="M98" s="26"/>
      <c r="N98" s="24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112"/>
    </row>
    <row r="99" spans="1:87" ht="13.5">
      <c r="A99" s="32" t="s">
        <v>149</v>
      </c>
      <c r="B99" s="234">
        <v>0.5</v>
      </c>
      <c r="C99" s="235">
        <v>0.5</v>
      </c>
      <c r="D99" s="235">
        <v>0.5</v>
      </c>
      <c r="E99" s="246"/>
      <c r="F99" s="238">
        <v>40000</v>
      </c>
      <c r="G99" s="23">
        <f>F99</f>
        <v>40000</v>
      </c>
      <c r="H99" s="23">
        <f>G99*(1+C5)</f>
        <v>41200</v>
      </c>
      <c r="I99" s="23">
        <f>H99*(1+D5)</f>
        <v>42436</v>
      </c>
      <c r="J99" s="246"/>
      <c r="K99" s="158">
        <f>SUM(AZ99:BK99)</f>
        <v>14999.999999999998</v>
      </c>
      <c r="L99" s="153">
        <f>SUM(BL99:BW99)</f>
        <v>20600</v>
      </c>
      <c r="M99" s="153">
        <f>SUM(BX99:CI99)</f>
        <v>21218</v>
      </c>
      <c r="N99" s="246"/>
      <c r="O99" s="26">
        <v>0</v>
      </c>
      <c r="P99" s="26">
        <v>0</v>
      </c>
      <c r="Q99" s="26">
        <v>0</v>
      </c>
      <c r="R99" s="26">
        <f aca="true" t="shared" si="178" ref="R99:Z99">$B$99</f>
        <v>0.5</v>
      </c>
      <c r="S99" s="26">
        <f t="shared" si="178"/>
        <v>0.5</v>
      </c>
      <c r="T99" s="26">
        <f t="shared" si="178"/>
        <v>0.5</v>
      </c>
      <c r="U99" s="26">
        <f t="shared" si="178"/>
        <v>0.5</v>
      </c>
      <c r="V99" s="26">
        <f t="shared" si="178"/>
        <v>0.5</v>
      </c>
      <c r="W99" s="26">
        <f t="shared" si="178"/>
        <v>0.5</v>
      </c>
      <c r="X99" s="26">
        <f t="shared" si="178"/>
        <v>0.5</v>
      </c>
      <c r="Y99" s="26">
        <f t="shared" si="178"/>
        <v>0.5</v>
      </c>
      <c r="Z99" s="26">
        <f t="shared" si="178"/>
        <v>0.5</v>
      </c>
      <c r="AA99" s="26">
        <f>$C$99</f>
        <v>0.5</v>
      </c>
      <c r="AB99" s="26">
        <f aca="true" t="shared" si="179" ref="AB99:AL99">$C$99</f>
        <v>0.5</v>
      </c>
      <c r="AC99" s="26">
        <f t="shared" si="179"/>
        <v>0.5</v>
      </c>
      <c r="AD99" s="26">
        <f t="shared" si="179"/>
        <v>0.5</v>
      </c>
      <c r="AE99" s="26">
        <f t="shared" si="179"/>
        <v>0.5</v>
      </c>
      <c r="AF99" s="26">
        <f t="shared" si="179"/>
        <v>0.5</v>
      </c>
      <c r="AG99" s="26">
        <f t="shared" si="179"/>
        <v>0.5</v>
      </c>
      <c r="AH99" s="26">
        <f t="shared" si="179"/>
        <v>0.5</v>
      </c>
      <c r="AI99" s="26">
        <f t="shared" si="179"/>
        <v>0.5</v>
      </c>
      <c r="AJ99" s="26">
        <f t="shared" si="179"/>
        <v>0.5</v>
      </c>
      <c r="AK99" s="26">
        <f t="shared" si="179"/>
        <v>0.5</v>
      </c>
      <c r="AL99" s="26">
        <f t="shared" si="179"/>
        <v>0.5</v>
      </c>
      <c r="AM99" s="26">
        <f>$D$99</f>
        <v>0.5</v>
      </c>
      <c r="AN99" s="26">
        <f aca="true" t="shared" si="180" ref="AN99:AX99">$D$99</f>
        <v>0.5</v>
      </c>
      <c r="AO99" s="26">
        <f t="shared" si="180"/>
        <v>0.5</v>
      </c>
      <c r="AP99" s="26">
        <f t="shared" si="180"/>
        <v>0.5</v>
      </c>
      <c r="AQ99" s="26">
        <f t="shared" si="180"/>
        <v>0.5</v>
      </c>
      <c r="AR99" s="26">
        <f t="shared" si="180"/>
        <v>0.5</v>
      </c>
      <c r="AS99" s="26">
        <f t="shared" si="180"/>
        <v>0.5</v>
      </c>
      <c r="AT99" s="26">
        <f t="shared" si="180"/>
        <v>0.5</v>
      </c>
      <c r="AU99" s="26">
        <f t="shared" si="180"/>
        <v>0.5</v>
      </c>
      <c r="AV99" s="26">
        <f t="shared" si="180"/>
        <v>0.5</v>
      </c>
      <c r="AW99" s="26">
        <f t="shared" si="180"/>
        <v>0.5</v>
      </c>
      <c r="AX99" s="26">
        <f t="shared" si="180"/>
        <v>0.5</v>
      </c>
      <c r="AY99" s="26"/>
      <c r="AZ99" s="23">
        <f>($G$99/12)*O99</f>
        <v>0</v>
      </c>
      <c r="BA99" s="23">
        <f aca="true" t="shared" si="181" ref="BA99:BK99">($G$99/12)*P99</f>
        <v>0</v>
      </c>
      <c r="BB99" s="23">
        <f t="shared" si="181"/>
        <v>0</v>
      </c>
      <c r="BC99" s="23">
        <f t="shared" si="181"/>
        <v>1666.6666666666667</v>
      </c>
      <c r="BD99" s="23">
        <f t="shared" si="181"/>
        <v>1666.6666666666667</v>
      </c>
      <c r="BE99" s="23">
        <f t="shared" si="181"/>
        <v>1666.6666666666667</v>
      </c>
      <c r="BF99" s="23">
        <f t="shared" si="181"/>
        <v>1666.6666666666667</v>
      </c>
      <c r="BG99" s="23">
        <f t="shared" si="181"/>
        <v>1666.6666666666667</v>
      </c>
      <c r="BH99" s="23">
        <f t="shared" si="181"/>
        <v>1666.6666666666667</v>
      </c>
      <c r="BI99" s="23">
        <f t="shared" si="181"/>
        <v>1666.6666666666667</v>
      </c>
      <c r="BJ99" s="23">
        <f t="shared" si="181"/>
        <v>1666.6666666666667</v>
      </c>
      <c r="BK99" s="23">
        <f t="shared" si="181"/>
        <v>1666.6666666666667</v>
      </c>
      <c r="BL99" s="23">
        <f>($H$99/12)*AA99</f>
        <v>1716.6666666666667</v>
      </c>
      <c r="BM99" s="23">
        <f aca="true" t="shared" si="182" ref="BM99:BW99">($H$99/12)*AB99</f>
        <v>1716.6666666666667</v>
      </c>
      <c r="BN99" s="23">
        <f t="shared" si="182"/>
        <v>1716.6666666666667</v>
      </c>
      <c r="BO99" s="23">
        <f t="shared" si="182"/>
        <v>1716.6666666666667</v>
      </c>
      <c r="BP99" s="23">
        <f t="shared" si="182"/>
        <v>1716.6666666666667</v>
      </c>
      <c r="BQ99" s="23">
        <f t="shared" si="182"/>
        <v>1716.6666666666667</v>
      </c>
      <c r="BR99" s="23">
        <f t="shared" si="182"/>
        <v>1716.6666666666667</v>
      </c>
      <c r="BS99" s="23">
        <f t="shared" si="182"/>
        <v>1716.6666666666667</v>
      </c>
      <c r="BT99" s="23">
        <f t="shared" si="182"/>
        <v>1716.6666666666667</v>
      </c>
      <c r="BU99" s="23">
        <f t="shared" si="182"/>
        <v>1716.6666666666667</v>
      </c>
      <c r="BV99" s="23">
        <f t="shared" si="182"/>
        <v>1716.6666666666667</v>
      </c>
      <c r="BW99" s="23">
        <f t="shared" si="182"/>
        <v>1716.6666666666667</v>
      </c>
      <c r="BX99" s="23">
        <f>($I$99/12)*AM99</f>
        <v>1768.1666666666667</v>
      </c>
      <c r="BY99" s="23">
        <f aca="true" t="shared" si="183" ref="BY99:CI99">($I$99/12)*AN99</f>
        <v>1768.1666666666667</v>
      </c>
      <c r="BZ99" s="23">
        <f t="shared" si="183"/>
        <v>1768.1666666666667</v>
      </c>
      <c r="CA99" s="23">
        <f t="shared" si="183"/>
        <v>1768.1666666666667</v>
      </c>
      <c r="CB99" s="23">
        <f t="shared" si="183"/>
        <v>1768.1666666666667</v>
      </c>
      <c r="CC99" s="23">
        <f t="shared" si="183"/>
        <v>1768.1666666666667</v>
      </c>
      <c r="CD99" s="23">
        <f t="shared" si="183"/>
        <v>1768.1666666666667</v>
      </c>
      <c r="CE99" s="23">
        <f t="shared" si="183"/>
        <v>1768.1666666666667</v>
      </c>
      <c r="CF99" s="23">
        <f t="shared" si="183"/>
        <v>1768.1666666666667</v>
      </c>
      <c r="CG99" s="23">
        <f t="shared" si="183"/>
        <v>1768.1666666666667</v>
      </c>
      <c r="CH99" s="23">
        <f t="shared" si="183"/>
        <v>1768.1666666666667</v>
      </c>
      <c r="CI99" s="112">
        <f t="shared" si="183"/>
        <v>1768.1666666666667</v>
      </c>
    </row>
    <row r="100" spans="1:114" s="240" customFormat="1" ht="12.75" customHeight="1">
      <c r="A100" s="241" t="s">
        <v>195</v>
      </c>
      <c r="B100" s="241">
        <f>SUM(B99:B99)</f>
        <v>0.5</v>
      </c>
      <c r="C100" s="240">
        <f>SUM(C99:C99)</f>
        <v>0.5</v>
      </c>
      <c r="D100" s="240">
        <f>SUM(D99:D99)</f>
        <v>0.5</v>
      </c>
      <c r="E100" s="247"/>
      <c r="F100" s="242"/>
      <c r="G100" s="243"/>
      <c r="H100" s="243"/>
      <c r="I100" s="243"/>
      <c r="J100" s="247"/>
      <c r="K100" s="244">
        <f>SUM(K99:K99)</f>
        <v>14999.999999999998</v>
      </c>
      <c r="L100" s="245">
        <f>SUM(L99:L99)</f>
        <v>20600</v>
      </c>
      <c r="M100" s="245">
        <f>SUM(M99:M99)</f>
        <v>21218</v>
      </c>
      <c r="N100" s="247"/>
      <c r="O100" s="240">
        <f aca="true" t="shared" si="184" ref="O100:AX100">SUM(O99:O99)</f>
        <v>0</v>
      </c>
      <c r="P100" s="240">
        <f t="shared" si="184"/>
        <v>0</v>
      </c>
      <c r="Q100" s="240">
        <f t="shared" si="184"/>
        <v>0</v>
      </c>
      <c r="R100" s="240">
        <f t="shared" si="184"/>
        <v>0.5</v>
      </c>
      <c r="S100" s="240">
        <f t="shared" si="184"/>
        <v>0.5</v>
      </c>
      <c r="T100" s="240">
        <f t="shared" si="184"/>
        <v>0.5</v>
      </c>
      <c r="U100" s="240">
        <f t="shared" si="184"/>
        <v>0.5</v>
      </c>
      <c r="V100" s="240">
        <f t="shared" si="184"/>
        <v>0.5</v>
      </c>
      <c r="W100" s="240">
        <f t="shared" si="184"/>
        <v>0.5</v>
      </c>
      <c r="X100" s="240">
        <f t="shared" si="184"/>
        <v>0.5</v>
      </c>
      <c r="Y100" s="240">
        <f t="shared" si="184"/>
        <v>0.5</v>
      </c>
      <c r="Z100" s="240">
        <f t="shared" si="184"/>
        <v>0.5</v>
      </c>
      <c r="AA100" s="240">
        <f t="shared" si="184"/>
        <v>0.5</v>
      </c>
      <c r="AB100" s="240">
        <f t="shared" si="184"/>
        <v>0.5</v>
      </c>
      <c r="AC100" s="240">
        <f t="shared" si="184"/>
        <v>0.5</v>
      </c>
      <c r="AD100" s="240">
        <f t="shared" si="184"/>
        <v>0.5</v>
      </c>
      <c r="AE100" s="240">
        <f t="shared" si="184"/>
        <v>0.5</v>
      </c>
      <c r="AF100" s="240">
        <f t="shared" si="184"/>
        <v>0.5</v>
      </c>
      <c r="AG100" s="240">
        <f t="shared" si="184"/>
        <v>0.5</v>
      </c>
      <c r="AH100" s="240">
        <f t="shared" si="184"/>
        <v>0.5</v>
      </c>
      <c r="AI100" s="240">
        <f t="shared" si="184"/>
        <v>0.5</v>
      </c>
      <c r="AJ100" s="240">
        <f t="shared" si="184"/>
        <v>0.5</v>
      </c>
      <c r="AK100" s="240">
        <f t="shared" si="184"/>
        <v>0.5</v>
      </c>
      <c r="AL100" s="240">
        <f t="shared" si="184"/>
        <v>0.5</v>
      </c>
      <c r="AM100" s="240">
        <f t="shared" si="184"/>
        <v>0.5</v>
      </c>
      <c r="AN100" s="240">
        <f t="shared" si="184"/>
        <v>0.5</v>
      </c>
      <c r="AO100" s="240">
        <f t="shared" si="184"/>
        <v>0.5</v>
      </c>
      <c r="AP100" s="240">
        <f t="shared" si="184"/>
        <v>0.5</v>
      </c>
      <c r="AQ100" s="240">
        <f t="shared" si="184"/>
        <v>0.5</v>
      </c>
      <c r="AR100" s="240">
        <f t="shared" si="184"/>
        <v>0.5</v>
      </c>
      <c r="AS100" s="240">
        <f t="shared" si="184"/>
        <v>0.5</v>
      </c>
      <c r="AT100" s="240">
        <f t="shared" si="184"/>
        <v>0.5</v>
      </c>
      <c r="AU100" s="240">
        <f t="shared" si="184"/>
        <v>0.5</v>
      </c>
      <c r="AV100" s="240">
        <f t="shared" si="184"/>
        <v>0.5</v>
      </c>
      <c r="AW100" s="240">
        <f t="shared" si="184"/>
        <v>0.5</v>
      </c>
      <c r="AX100" s="240">
        <f t="shared" si="184"/>
        <v>0.5</v>
      </c>
      <c r="AZ100" s="243">
        <f aca="true" t="shared" si="185" ref="AZ100:CI100">SUM(AZ99:AZ99)</f>
        <v>0</v>
      </c>
      <c r="BA100" s="243">
        <f t="shared" si="185"/>
        <v>0</v>
      </c>
      <c r="BB100" s="243">
        <f t="shared" si="185"/>
        <v>0</v>
      </c>
      <c r="BC100" s="243">
        <f t="shared" si="185"/>
        <v>1666.6666666666667</v>
      </c>
      <c r="BD100" s="243">
        <f t="shared" si="185"/>
        <v>1666.6666666666667</v>
      </c>
      <c r="BE100" s="243">
        <f t="shared" si="185"/>
        <v>1666.6666666666667</v>
      </c>
      <c r="BF100" s="243">
        <f t="shared" si="185"/>
        <v>1666.6666666666667</v>
      </c>
      <c r="BG100" s="243">
        <f t="shared" si="185"/>
        <v>1666.6666666666667</v>
      </c>
      <c r="BH100" s="243">
        <f t="shared" si="185"/>
        <v>1666.6666666666667</v>
      </c>
      <c r="BI100" s="243">
        <f t="shared" si="185"/>
        <v>1666.6666666666667</v>
      </c>
      <c r="BJ100" s="243">
        <f t="shared" si="185"/>
        <v>1666.6666666666667</v>
      </c>
      <c r="BK100" s="243">
        <f t="shared" si="185"/>
        <v>1666.6666666666667</v>
      </c>
      <c r="BL100" s="243">
        <f t="shared" si="185"/>
        <v>1716.6666666666667</v>
      </c>
      <c r="BM100" s="243">
        <f t="shared" si="185"/>
        <v>1716.6666666666667</v>
      </c>
      <c r="BN100" s="243">
        <f t="shared" si="185"/>
        <v>1716.6666666666667</v>
      </c>
      <c r="BO100" s="243">
        <f t="shared" si="185"/>
        <v>1716.6666666666667</v>
      </c>
      <c r="BP100" s="243">
        <f t="shared" si="185"/>
        <v>1716.6666666666667</v>
      </c>
      <c r="BQ100" s="243">
        <f t="shared" si="185"/>
        <v>1716.6666666666667</v>
      </c>
      <c r="BR100" s="243">
        <f t="shared" si="185"/>
        <v>1716.6666666666667</v>
      </c>
      <c r="BS100" s="243">
        <f t="shared" si="185"/>
        <v>1716.6666666666667</v>
      </c>
      <c r="BT100" s="243">
        <f t="shared" si="185"/>
        <v>1716.6666666666667</v>
      </c>
      <c r="BU100" s="243">
        <f t="shared" si="185"/>
        <v>1716.6666666666667</v>
      </c>
      <c r="BV100" s="243">
        <f t="shared" si="185"/>
        <v>1716.6666666666667</v>
      </c>
      <c r="BW100" s="243">
        <f t="shared" si="185"/>
        <v>1716.6666666666667</v>
      </c>
      <c r="BX100" s="243">
        <f t="shared" si="185"/>
        <v>1768.1666666666667</v>
      </c>
      <c r="BY100" s="243">
        <f t="shared" si="185"/>
        <v>1768.1666666666667</v>
      </c>
      <c r="BZ100" s="243">
        <f t="shared" si="185"/>
        <v>1768.1666666666667</v>
      </c>
      <c r="CA100" s="243">
        <f t="shared" si="185"/>
        <v>1768.1666666666667</v>
      </c>
      <c r="CB100" s="243">
        <f t="shared" si="185"/>
        <v>1768.1666666666667</v>
      </c>
      <c r="CC100" s="243">
        <f t="shared" si="185"/>
        <v>1768.1666666666667</v>
      </c>
      <c r="CD100" s="243">
        <f t="shared" si="185"/>
        <v>1768.1666666666667</v>
      </c>
      <c r="CE100" s="243">
        <f t="shared" si="185"/>
        <v>1768.1666666666667</v>
      </c>
      <c r="CF100" s="243">
        <f t="shared" si="185"/>
        <v>1768.1666666666667</v>
      </c>
      <c r="CG100" s="243">
        <f t="shared" si="185"/>
        <v>1768.1666666666667</v>
      </c>
      <c r="CH100" s="243">
        <f t="shared" si="185"/>
        <v>1768.1666666666667</v>
      </c>
      <c r="CI100" s="272">
        <f t="shared" si="185"/>
        <v>1768.1666666666667</v>
      </c>
      <c r="CJ100" s="243"/>
      <c r="CK100" s="243"/>
      <c r="CL100" s="243"/>
      <c r="CM100" s="243"/>
      <c r="CN100" s="243"/>
      <c r="CO100" s="243"/>
      <c r="CP100" s="243"/>
      <c r="CQ100" s="243"/>
      <c r="CR100" s="243"/>
      <c r="CS100" s="243"/>
      <c r="CT100" s="243"/>
      <c r="CU100" s="243"/>
      <c r="CV100" s="243"/>
      <c r="CW100" s="243"/>
      <c r="CX100" s="243"/>
      <c r="CY100" s="243"/>
      <c r="CZ100" s="243"/>
      <c r="DA100" s="243"/>
      <c r="DB100" s="243"/>
      <c r="DC100" s="243"/>
      <c r="DD100" s="243"/>
      <c r="DE100" s="243"/>
      <c r="DF100" s="243"/>
      <c r="DG100" s="243"/>
      <c r="DH100" s="243"/>
      <c r="DI100" s="243"/>
      <c r="DJ100" s="243"/>
    </row>
    <row r="101" spans="1:114" s="26" customFormat="1" ht="12.75" customHeight="1">
      <c r="A101" s="211" t="s">
        <v>407</v>
      </c>
      <c r="B101" s="32"/>
      <c r="E101" s="246"/>
      <c r="F101" s="111"/>
      <c r="G101" s="23"/>
      <c r="H101" s="23"/>
      <c r="I101" s="23"/>
      <c r="J101" s="246"/>
      <c r="K101" s="158">
        <f>K100*B6</f>
        <v>3749.9999999999995</v>
      </c>
      <c r="L101" s="153">
        <f>L100*C6</f>
        <v>5150</v>
      </c>
      <c r="M101" s="153">
        <f>M100*D6</f>
        <v>5304.5</v>
      </c>
      <c r="N101" s="246"/>
      <c r="AZ101" s="23">
        <f>AZ100*$B$6</f>
        <v>0</v>
      </c>
      <c r="BA101" s="23">
        <f aca="true" t="shared" si="186" ref="BA101:BK101">BA100*$B$6</f>
        <v>0</v>
      </c>
      <c r="BB101" s="23">
        <f t="shared" si="186"/>
        <v>0</v>
      </c>
      <c r="BC101" s="23">
        <f t="shared" si="186"/>
        <v>416.6666666666667</v>
      </c>
      <c r="BD101" s="23">
        <f t="shared" si="186"/>
        <v>416.6666666666667</v>
      </c>
      <c r="BE101" s="23">
        <f t="shared" si="186"/>
        <v>416.6666666666667</v>
      </c>
      <c r="BF101" s="23">
        <f t="shared" si="186"/>
        <v>416.6666666666667</v>
      </c>
      <c r="BG101" s="23">
        <f t="shared" si="186"/>
        <v>416.6666666666667</v>
      </c>
      <c r="BH101" s="23">
        <f t="shared" si="186"/>
        <v>416.6666666666667</v>
      </c>
      <c r="BI101" s="23">
        <f t="shared" si="186"/>
        <v>416.6666666666667</v>
      </c>
      <c r="BJ101" s="23">
        <f t="shared" si="186"/>
        <v>416.6666666666667</v>
      </c>
      <c r="BK101" s="23">
        <f t="shared" si="186"/>
        <v>416.6666666666667</v>
      </c>
      <c r="BL101" s="23">
        <f>BL100*$C$6</f>
        <v>429.1666666666667</v>
      </c>
      <c r="BM101" s="23">
        <f aca="true" t="shared" si="187" ref="BM101:BX101">BM100*$C$6</f>
        <v>429.1666666666667</v>
      </c>
      <c r="BN101" s="23">
        <f t="shared" si="187"/>
        <v>429.1666666666667</v>
      </c>
      <c r="BO101" s="23">
        <f t="shared" si="187"/>
        <v>429.1666666666667</v>
      </c>
      <c r="BP101" s="23">
        <f t="shared" si="187"/>
        <v>429.1666666666667</v>
      </c>
      <c r="BQ101" s="23">
        <f t="shared" si="187"/>
        <v>429.1666666666667</v>
      </c>
      <c r="BR101" s="23">
        <f t="shared" si="187"/>
        <v>429.1666666666667</v>
      </c>
      <c r="BS101" s="23">
        <f t="shared" si="187"/>
        <v>429.1666666666667</v>
      </c>
      <c r="BT101" s="23">
        <f t="shared" si="187"/>
        <v>429.1666666666667</v>
      </c>
      <c r="BU101" s="23">
        <f t="shared" si="187"/>
        <v>429.1666666666667</v>
      </c>
      <c r="BV101" s="23">
        <f t="shared" si="187"/>
        <v>429.1666666666667</v>
      </c>
      <c r="BW101" s="23">
        <f t="shared" si="187"/>
        <v>429.1666666666667</v>
      </c>
      <c r="BX101" s="23">
        <f t="shared" si="187"/>
        <v>442.0416666666667</v>
      </c>
      <c r="BY101" s="23">
        <f>BY100*$D$6</f>
        <v>442.0416666666667</v>
      </c>
      <c r="BZ101" s="23">
        <f aca="true" t="shared" si="188" ref="BZ101:CI101">BZ100*$D$6</f>
        <v>442.0416666666667</v>
      </c>
      <c r="CA101" s="23">
        <f t="shared" si="188"/>
        <v>442.0416666666667</v>
      </c>
      <c r="CB101" s="23">
        <f t="shared" si="188"/>
        <v>442.0416666666667</v>
      </c>
      <c r="CC101" s="23">
        <f t="shared" si="188"/>
        <v>442.0416666666667</v>
      </c>
      <c r="CD101" s="23">
        <f t="shared" si="188"/>
        <v>442.0416666666667</v>
      </c>
      <c r="CE101" s="23">
        <f t="shared" si="188"/>
        <v>442.0416666666667</v>
      </c>
      <c r="CF101" s="23">
        <f t="shared" si="188"/>
        <v>442.0416666666667</v>
      </c>
      <c r="CG101" s="23">
        <f t="shared" si="188"/>
        <v>442.0416666666667</v>
      </c>
      <c r="CH101" s="23">
        <f t="shared" si="188"/>
        <v>442.0416666666667</v>
      </c>
      <c r="CI101" s="112">
        <f t="shared" si="188"/>
        <v>442.0416666666667</v>
      </c>
      <c r="CJ101" s="23"/>
      <c r="CK101" s="23"/>
      <c r="CL101" s="23"/>
      <c r="CM101" s="23"/>
      <c r="CN101" s="23"/>
      <c r="CO101" s="23"/>
      <c r="CP101" s="23"/>
      <c r="CQ101" s="23"/>
      <c r="CR101" s="23"/>
      <c r="CS101" s="23"/>
      <c r="CT101" s="23"/>
      <c r="CU101" s="23"/>
      <c r="CV101" s="23"/>
      <c r="CW101" s="23"/>
      <c r="CX101" s="23"/>
      <c r="CY101" s="23"/>
      <c r="CZ101" s="23"/>
      <c r="DA101" s="23"/>
      <c r="DB101" s="23"/>
      <c r="DC101" s="23"/>
      <c r="DD101" s="23"/>
      <c r="DE101" s="23"/>
      <c r="DF101" s="23"/>
      <c r="DG101" s="23"/>
      <c r="DH101" s="23"/>
      <c r="DI101" s="23"/>
      <c r="DJ101" s="23"/>
    </row>
    <row r="102" spans="1:114" s="26" customFormat="1" ht="12.75" customHeight="1">
      <c r="A102" s="211" t="s">
        <v>150</v>
      </c>
      <c r="B102" s="32"/>
      <c r="E102" s="246"/>
      <c r="F102" s="111"/>
      <c r="G102" s="23"/>
      <c r="H102" s="23"/>
      <c r="I102" s="23"/>
      <c r="J102" s="246"/>
      <c r="K102" s="158">
        <f>K100+K101</f>
        <v>18749.999999999996</v>
      </c>
      <c r="L102" s="153">
        <f>L100+L101</f>
        <v>25750</v>
      </c>
      <c r="M102" s="153">
        <f>M100+M101</f>
        <v>26522.5</v>
      </c>
      <c r="N102" s="246"/>
      <c r="AZ102" s="23">
        <f>AZ100+AZ101</f>
        <v>0</v>
      </c>
      <c r="BA102" s="23">
        <f aca="true" t="shared" si="189" ref="BA102:CI102">BA100+BA101</f>
        <v>0</v>
      </c>
      <c r="BB102" s="23">
        <f t="shared" si="189"/>
        <v>0</v>
      </c>
      <c r="BC102" s="23">
        <f t="shared" si="189"/>
        <v>2083.3333333333335</v>
      </c>
      <c r="BD102" s="23">
        <f t="shared" si="189"/>
        <v>2083.3333333333335</v>
      </c>
      <c r="BE102" s="23">
        <f t="shared" si="189"/>
        <v>2083.3333333333335</v>
      </c>
      <c r="BF102" s="23">
        <f t="shared" si="189"/>
        <v>2083.3333333333335</v>
      </c>
      <c r="BG102" s="23">
        <f t="shared" si="189"/>
        <v>2083.3333333333335</v>
      </c>
      <c r="BH102" s="23">
        <f t="shared" si="189"/>
        <v>2083.3333333333335</v>
      </c>
      <c r="BI102" s="23">
        <f t="shared" si="189"/>
        <v>2083.3333333333335</v>
      </c>
      <c r="BJ102" s="23">
        <f t="shared" si="189"/>
        <v>2083.3333333333335</v>
      </c>
      <c r="BK102" s="23">
        <f t="shared" si="189"/>
        <v>2083.3333333333335</v>
      </c>
      <c r="BL102" s="23">
        <f t="shared" si="189"/>
        <v>2145.8333333333335</v>
      </c>
      <c r="BM102" s="23">
        <f t="shared" si="189"/>
        <v>2145.8333333333335</v>
      </c>
      <c r="BN102" s="23">
        <f t="shared" si="189"/>
        <v>2145.8333333333335</v>
      </c>
      <c r="BO102" s="23">
        <f t="shared" si="189"/>
        <v>2145.8333333333335</v>
      </c>
      <c r="BP102" s="23">
        <f t="shared" si="189"/>
        <v>2145.8333333333335</v>
      </c>
      <c r="BQ102" s="23">
        <f t="shared" si="189"/>
        <v>2145.8333333333335</v>
      </c>
      <c r="BR102" s="23">
        <f t="shared" si="189"/>
        <v>2145.8333333333335</v>
      </c>
      <c r="BS102" s="23">
        <f t="shared" si="189"/>
        <v>2145.8333333333335</v>
      </c>
      <c r="BT102" s="23">
        <f t="shared" si="189"/>
        <v>2145.8333333333335</v>
      </c>
      <c r="BU102" s="23">
        <f t="shared" si="189"/>
        <v>2145.8333333333335</v>
      </c>
      <c r="BV102" s="23">
        <f t="shared" si="189"/>
        <v>2145.8333333333335</v>
      </c>
      <c r="BW102" s="23">
        <f t="shared" si="189"/>
        <v>2145.8333333333335</v>
      </c>
      <c r="BX102" s="23">
        <f t="shared" si="189"/>
        <v>2210.2083333333335</v>
      </c>
      <c r="BY102" s="23">
        <f t="shared" si="189"/>
        <v>2210.2083333333335</v>
      </c>
      <c r="BZ102" s="23">
        <f t="shared" si="189"/>
        <v>2210.2083333333335</v>
      </c>
      <c r="CA102" s="23">
        <f t="shared" si="189"/>
        <v>2210.2083333333335</v>
      </c>
      <c r="CB102" s="23">
        <f t="shared" si="189"/>
        <v>2210.2083333333335</v>
      </c>
      <c r="CC102" s="23">
        <f t="shared" si="189"/>
        <v>2210.2083333333335</v>
      </c>
      <c r="CD102" s="23">
        <f t="shared" si="189"/>
        <v>2210.2083333333335</v>
      </c>
      <c r="CE102" s="23">
        <f t="shared" si="189"/>
        <v>2210.2083333333335</v>
      </c>
      <c r="CF102" s="23">
        <f t="shared" si="189"/>
        <v>2210.2083333333335</v>
      </c>
      <c r="CG102" s="23">
        <f t="shared" si="189"/>
        <v>2210.2083333333335</v>
      </c>
      <c r="CH102" s="23">
        <f t="shared" si="189"/>
        <v>2210.2083333333335</v>
      </c>
      <c r="CI102" s="112">
        <f t="shared" si="189"/>
        <v>2210.2083333333335</v>
      </c>
      <c r="CJ102" s="23"/>
      <c r="CK102" s="23"/>
      <c r="CL102" s="23"/>
      <c r="CM102" s="23"/>
      <c r="CN102" s="23"/>
      <c r="CO102" s="23"/>
      <c r="CP102" s="23"/>
      <c r="CQ102" s="23"/>
      <c r="CR102" s="23"/>
      <c r="CS102" s="23"/>
      <c r="CT102" s="23"/>
      <c r="CU102" s="23"/>
      <c r="CV102" s="23"/>
      <c r="CW102" s="23"/>
      <c r="CX102" s="23"/>
      <c r="CY102" s="23"/>
      <c r="CZ102" s="23"/>
      <c r="DA102" s="23"/>
      <c r="DB102" s="23"/>
      <c r="DC102" s="23"/>
      <c r="DD102" s="23"/>
      <c r="DE102" s="23"/>
      <c r="DF102" s="23"/>
      <c r="DG102" s="23"/>
      <c r="DH102" s="23"/>
      <c r="DI102" s="23"/>
      <c r="DJ102" s="23"/>
    </row>
    <row r="103" spans="1:87" ht="13.5">
      <c r="A103" s="32"/>
      <c r="B103" s="32"/>
      <c r="C103" s="26"/>
      <c r="D103" s="26"/>
      <c r="E103" s="246"/>
      <c r="F103" s="111"/>
      <c r="G103" s="23"/>
      <c r="H103" s="23"/>
      <c r="I103" s="23"/>
      <c r="J103" s="246"/>
      <c r="K103" s="32"/>
      <c r="L103" s="26"/>
      <c r="M103" s="26"/>
      <c r="N103" s="24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112"/>
    </row>
    <row r="104" spans="1:87" ht="13.5">
      <c r="A104" s="271" t="s">
        <v>581</v>
      </c>
      <c r="B104" s="32"/>
      <c r="C104" s="26"/>
      <c r="D104" s="26"/>
      <c r="E104" s="246"/>
      <c r="F104" s="111"/>
      <c r="G104" s="23"/>
      <c r="H104" s="23"/>
      <c r="I104" s="23"/>
      <c r="J104" s="246"/>
      <c r="K104" s="32"/>
      <c r="L104" s="26"/>
      <c r="M104" s="26"/>
      <c r="N104" s="24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112"/>
    </row>
    <row r="105" spans="1:87" s="26" customFormat="1" ht="12.75" customHeight="1">
      <c r="A105" s="32" t="s">
        <v>65</v>
      </c>
      <c r="B105" s="234">
        <v>1</v>
      </c>
      <c r="C105" s="235">
        <v>1</v>
      </c>
      <c r="D105" s="235">
        <v>1</v>
      </c>
      <c r="E105" s="246"/>
      <c r="F105" s="212">
        <f>F99</f>
        <v>40000</v>
      </c>
      <c r="G105" s="23">
        <f>F105</f>
        <v>40000</v>
      </c>
      <c r="H105" s="23">
        <f>G105*(1+$C$5)</f>
        <v>41200</v>
      </c>
      <c r="I105" s="23">
        <f>H105*(1+$D$5)</f>
        <v>42436</v>
      </c>
      <c r="J105" s="246"/>
      <c r="K105" s="158">
        <f>SUM(AZ105:BK105)</f>
        <v>29999.999999999996</v>
      </c>
      <c r="L105" s="153">
        <f>SUM(BL105:BW105)</f>
        <v>41200</v>
      </c>
      <c r="M105" s="153">
        <f>SUM(BX105:CI105)</f>
        <v>42436</v>
      </c>
      <c r="N105" s="246"/>
      <c r="O105" s="26">
        <v>0</v>
      </c>
      <c r="P105" s="26">
        <v>0</v>
      </c>
      <c r="Q105" s="26">
        <v>0</v>
      </c>
      <c r="R105" s="26">
        <f aca="true" t="shared" si="190" ref="R105:Z105">$B$105</f>
        <v>1</v>
      </c>
      <c r="S105" s="26">
        <f t="shared" si="190"/>
        <v>1</v>
      </c>
      <c r="T105" s="26">
        <f t="shared" si="190"/>
        <v>1</v>
      </c>
      <c r="U105" s="26">
        <f t="shared" si="190"/>
        <v>1</v>
      </c>
      <c r="V105" s="26">
        <f t="shared" si="190"/>
        <v>1</v>
      </c>
      <c r="W105" s="26">
        <f t="shared" si="190"/>
        <v>1</v>
      </c>
      <c r="X105" s="26">
        <f t="shared" si="190"/>
        <v>1</v>
      </c>
      <c r="Y105" s="26">
        <f t="shared" si="190"/>
        <v>1</v>
      </c>
      <c r="Z105" s="26">
        <f t="shared" si="190"/>
        <v>1</v>
      </c>
      <c r="AA105" s="26">
        <f>$C$105</f>
        <v>1</v>
      </c>
      <c r="AB105" s="26">
        <f aca="true" t="shared" si="191" ref="AB105:AL105">$C$105</f>
        <v>1</v>
      </c>
      <c r="AC105" s="26">
        <f t="shared" si="191"/>
        <v>1</v>
      </c>
      <c r="AD105" s="26">
        <f t="shared" si="191"/>
        <v>1</v>
      </c>
      <c r="AE105" s="26">
        <f t="shared" si="191"/>
        <v>1</v>
      </c>
      <c r="AF105" s="26">
        <f t="shared" si="191"/>
        <v>1</v>
      </c>
      <c r="AG105" s="26">
        <f t="shared" si="191"/>
        <v>1</v>
      </c>
      <c r="AH105" s="26">
        <f t="shared" si="191"/>
        <v>1</v>
      </c>
      <c r="AI105" s="26">
        <f t="shared" si="191"/>
        <v>1</v>
      </c>
      <c r="AJ105" s="26">
        <f t="shared" si="191"/>
        <v>1</v>
      </c>
      <c r="AK105" s="26">
        <f t="shared" si="191"/>
        <v>1</v>
      </c>
      <c r="AL105" s="26">
        <f t="shared" si="191"/>
        <v>1</v>
      </c>
      <c r="AM105" s="26">
        <f>$D$105</f>
        <v>1</v>
      </c>
      <c r="AN105" s="26">
        <f aca="true" t="shared" si="192" ref="AN105:AX105">$D$105</f>
        <v>1</v>
      </c>
      <c r="AO105" s="26">
        <f t="shared" si="192"/>
        <v>1</v>
      </c>
      <c r="AP105" s="26">
        <f t="shared" si="192"/>
        <v>1</v>
      </c>
      <c r="AQ105" s="26">
        <f t="shared" si="192"/>
        <v>1</v>
      </c>
      <c r="AR105" s="26">
        <f t="shared" si="192"/>
        <v>1</v>
      </c>
      <c r="AS105" s="26">
        <f t="shared" si="192"/>
        <v>1</v>
      </c>
      <c r="AT105" s="26">
        <f t="shared" si="192"/>
        <v>1</v>
      </c>
      <c r="AU105" s="26">
        <f t="shared" si="192"/>
        <v>1</v>
      </c>
      <c r="AV105" s="26">
        <f t="shared" si="192"/>
        <v>1</v>
      </c>
      <c r="AW105" s="26">
        <f t="shared" si="192"/>
        <v>1</v>
      </c>
      <c r="AX105" s="26">
        <f t="shared" si="192"/>
        <v>1</v>
      </c>
      <c r="AZ105" s="23">
        <f>($G$105/12)*O105</f>
        <v>0</v>
      </c>
      <c r="BA105" s="23">
        <f aca="true" t="shared" si="193" ref="BA105:BK105">($G$105/12)*P105</f>
        <v>0</v>
      </c>
      <c r="BB105" s="23">
        <f t="shared" si="193"/>
        <v>0</v>
      </c>
      <c r="BC105" s="23">
        <f t="shared" si="193"/>
        <v>3333.3333333333335</v>
      </c>
      <c r="BD105" s="23">
        <f t="shared" si="193"/>
        <v>3333.3333333333335</v>
      </c>
      <c r="BE105" s="23">
        <f t="shared" si="193"/>
        <v>3333.3333333333335</v>
      </c>
      <c r="BF105" s="23">
        <f t="shared" si="193"/>
        <v>3333.3333333333335</v>
      </c>
      <c r="BG105" s="23">
        <f t="shared" si="193"/>
        <v>3333.3333333333335</v>
      </c>
      <c r="BH105" s="23">
        <f t="shared" si="193"/>
        <v>3333.3333333333335</v>
      </c>
      <c r="BI105" s="23">
        <f t="shared" si="193"/>
        <v>3333.3333333333335</v>
      </c>
      <c r="BJ105" s="23">
        <f t="shared" si="193"/>
        <v>3333.3333333333335</v>
      </c>
      <c r="BK105" s="23">
        <f t="shared" si="193"/>
        <v>3333.3333333333335</v>
      </c>
      <c r="BL105" s="23">
        <f>($H$105/12)*AA105</f>
        <v>3433.3333333333335</v>
      </c>
      <c r="BM105" s="23">
        <f aca="true" t="shared" si="194" ref="BM105:BW105">($H$105/12)*AB105</f>
        <v>3433.3333333333335</v>
      </c>
      <c r="BN105" s="23">
        <f t="shared" si="194"/>
        <v>3433.3333333333335</v>
      </c>
      <c r="BO105" s="23">
        <f t="shared" si="194"/>
        <v>3433.3333333333335</v>
      </c>
      <c r="BP105" s="23">
        <f t="shared" si="194"/>
        <v>3433.3333333333335</v>
      </c>
      <c r="BQ105" s="23">
        <f t="shared" si="194"/>
        <v>3433.3333333333335</v>
      </c>
      <c r="BR105" s="23">
        <f t="shared" si="194"/>
        <v>3433.3333333333335</v>
      </c>
      <c r="BS105" s="23">
        <f t="shared" si="194"/>
        <v>3433.3333333333335</v>
      </c>
      <c r="BT105" s="23">
        <f t="shared" si="194"/>
        <v>3433.3333333333335</v>
      </c>
      <c r="BU105" s="23">
        <f t="shared" si="194"/>
        <v>3433.3333333333335</v>
      </c>
      <c r="BV105" s="23">
        <f t="shared" si="194"/>
        <v>3433.3333333333335</v>
      </c>
      <c r="BW105" s="23">
        <f t="shared" si="194"/>
        <v>3433.3333333333335</v>
      </c>
      <c r="BX105" s="23">
        <f>($I$105/12)*AM105</f>
        <v>3536.3333333333335</v>
      </c>
      <c r="BY105" s="23">
        <f aca="true" t="shared" si="195" ref="BY105:CI105">($I$105/12)*AN105</f>
        <v>3536.3333333333335</v>
      </c>
      <c r="BZ105" s="23">
        <f t="shared" si="195"/>
        <v>3536.3333333333335</v>
      </c>
      <c r="CA105" s="23">
        <f t="shared" si="195"/>
        <v>3536.3333333333335</v>
      </c>
      <c r="CB105" s="23">
        <f t="shared" si="195"/>
        <v>3536.3333333333335</v>
      </c>
      <c r="CC105" s="23">
        <f t="shared" si="195"/>
        <v>3536.3333333333335</v>
      </c>
      <c r="CD105" s="23">
        <f t="shared" si="195"/>
        <v>3536.3333333333335</v>
      </c>
      <c r="CE105" s="23">
        <f t="shared" si="195"/>
        <v>3536.3333333333335</v>
      </c>
      <c r="CF105" s="23">
        <f t="shared" si="195"/>
        <v>3536.3333333333335</v>
      </c>
      <c r="CG105" s="23">
        <f t="shared" si="195"/>
        <v>3536.3333333333335</v>
      </c>
      <c r="CH105" s="23">
        <f t="shared" si="195"/>
        <v>3536.3333333333335</v>
      </c>
      <c r="CI105" s="112">
        <f t="shared" si="195"/>
        <v>3536.3333333333335</v>
      </c>
    </row>
    <row r="106" spans="1:114" s="240" customFormat="1" ht="12.75" customHeight="1">
      <c r="A106" s="241" t="s">
        <v>193</v>
      </c>
      <c r="B106" s="241">
        <f>SUM(B105:B105)</f>
        <v>1</v>
      </c>
      <c r="C106" s="240">
        <f>SUM(C105:C105)</f>
        <v>1</v>
      </c>
      <c r="D106" s="240">
        <f>SUM(D105:D105)</f>
        <v>1</v>
      </c>
      <c r="E106" s="247"/>
      <c r="F106" s="242"/>
      <c r="G106" s="243"/>
      <c r="H106" s="243"/>
      <c r="I106" s="243"/>
      <c r="J106" s="247"/>
      <c r="K106" s="244">
        <f>SUM(K105:K105)</f>
        <v>29999.999999999996</v>
      </c>
      <c r="L106" s="245">
        <f>SUM(L105:L105)</f>
        <v>41200</v>
      </c>
      <c r="M106" s="245">
        <f>SUM(M105:M105)</f>
        <v>42436</v>
      </c>
      <c r="N106" s="247"/>
      <c r="O106" s="240">
        <f aca="true" t="shared" si="196" ref="O106:AX106">SUM(O105:O105)</f>
        <v>0</v>
      </c>
      <c r="P106" s="240">
        <f t="shared" si="196"/>
        <v>0</v>
      </c>
      <c r="Q106" s="240">
        <f t="shared" si="196"/>
        <v>0</v>
      </c>
      <c r="R106" s="240">
        <f t="shared" si="196"/>
        <v>1</v>
      </c>
      <c r="S106" s="240">
        <f t="shared" si="196"/>
        <v>1</v>
      </c>
      <c r="T106" s="240">
        <f t="shared" si="196"/>
        <v>1</v>
      </c>
      <c r="U106" s="240">
        <f t="shared" si="196"/>
        <v>1</v>
      </c>
      <c r="V106" s="240">
        <f t="shared" si="196"/>
        <v>1</v>
      </c>
      <c r="W106" s="240">
        <f t="shared" si="196"/>
        <v>1</v>
      </c>
      <c r="X106" s="240">
        <f t="shared" si="196"/>
        <v>1</v>
      </c>
      <c r="Y106" s="240">
        <f t="shared" si="196"/>
        <v>1</v>
      </c>
      <c r="Z106" s="240">
        <f t="shared" si="196"/>
        <v>1</v>
      </c>
      <c r="AA106" s="240">
        <f t="shared" si="196"/>
        <v>1</v>
      </c>
      <c r="AB106" s="240">
        <f t="shared" si="196"/>
        <v>1</v>
      </c>
      <c r="AC106" s="240">
        <f t="shared" si="196"/>
        <v>1</v>
      </c>
      <c r="AD106" s="240">
        <f t="shared" si="196"/>
        <v>1</v>
      </c>
      <c r="AE106" s="240">
        <f t="shared" si="196"/>
        <v>1</v>
      </c>
      <c r="AF106" s="240">
        <f t="shared" si="196"/>
        <v>1</v>
      </c>
      <c r="AG106" s="240">
        <f t="shared" si="196"/>
        <v>1</v>
      </c>
      <c r="AH106" s="240">
        <f t="shared" si="196"/>
        <v>1</v>
      </c>
      <c r="AI106" s="240">
        <f t="shared" si="196"/>
        <v>1</v>
      </c>
      <c r="AJ106" s="240">
        <f t="shared" si="196"/>
        <v>1</v>
      </c>
      <c r="AK106" s="240">
        <f t="shared" si="196"/>
        <v>1</v>
      </c>
      <c r="AL106" s="240">
        <f t="shared" si="196"/>
        <v>1</v>
      </c>
      <c r="AM106" s="240">
        <f t="shared" si="196"/>
        <v>1</v>
      </c>
      <c r="AN106" s="240">
        <f t="shared" si="196"/>
        <v>1</v>
      </c>
      <c r="AO106" s="240">
        <f t="shared" si="196"/>
        <v>1</v>
      </c>
      <c r="AP106" s="240">
        <f t="shared" si="196"/>
        <v>1</v>
      </c>
      <c r="AQ106" s="240">
        <f t="shared" si="196"/>
        <v>1</v>
      </c>
      <c r="AR106" s="240">
        <f t="shared" si="196"/>
        <v>1</v>
      </c>
      <c r="AS106" s="240">
        <f t="shared" si="196"/>
        <v>1</v>
      </c>
      <c r="AT106" s="240">
        <f t="shared" si="196"/>
        <v>1</v>
      </c>
      <c r="AU106" s="240">
        <f t="shared" si="196"/>
        <v>1</v>
      </c>
      <c r="AV106" s="240">
        <f t="shared" si="196"/>
        <v>1</v>
      </c>
      <c r="AW106" s="240">
        <f t="shared" si="196"/>
        <v>1</v>
      </c>
      <c r="AX106" s="240">
        <f t="shared" si="196"/>
        <v>1</v>
      </c>
      <c r="AZ106" s="243">
        <f aca="true" t="shared" si="197" ref="AZ106:CI106">SUM(AZ105:AZ105)</f>
        <v>0</v>
      </c>
      <c r="BA106" s="243">
        <f t="shared" si="197"/>
        <v>0</v>
      </c>
      <c r="BB106" s="243">
        <f t="shared" si="197"/>
        <v>0</v>
      </c>
      <c r="BC106" s="243">
        <f t="shared" si="197"/>
        <v>3333.3333333333335</v>
      </c>
      <c r="BD106" s="243">
        <f t="shared" si="197"/>
        <v>3333.3333333333335</v>
      </c>
      <c r="BE106" s="243">
        <f t="shared" si="197"/>
        <v>3333.3333333333335</v>
      </c>
      <c r="BF106" s="243">
        <f t="shared" si="197"/>
        <v>3333.3333333333335</v>
      </c>
      <c r="BG106" s="243">
        <f t="shared" si="197"/>
        <v>3333.3333333333335</v>
      </c>
      <c r="BH106" s="243">
        <f t="shared" si="197"/>
        <v>3333.3333333333335</v>
      </c>
      <c r="BI106" s="243">
        <f t="shared" si="197"/>
        <v>3333.3333333333335</v>
      </c>
      <c r="BJ106" s="243">
        <f t="shared" si="197"/>
        <v>3333.3333333333335</v>
      </c>
      <c r="BK106" s="243">
        <f t="shared" si="197"/>
        <v>3333.3333333333335</v>
      </c>
      <c r="BL106" s="243">
        <f t="shared" si="197"/>
        <v>3433.3333333333335</v>
      </c>
      <c r="BM106" s="243">
        <f t="shared" si="197"/>
        <v>3433.3333333333335</v>
      </c>
      <c r="BN106" s="243">
        <f t="shared" si="197"/>
        <v>3433.3333333333335</v>
      </c>
      <c r="BO106" s="243">
        <f t="shared" si="197"/>
        <v>3433.3333333333335</v>
      </c>
      <c r="BP106" s="243">
        <f t="shared" si="197"/>
        <v>3433.3333333333335</v>
      </c>
      <c r="BQ106" s="243">
        <f t="shared" si="197"/>
        <v>3433.3333333333335</v>
      </c>
      <c r="BR106" s="243">
        <f t="shared" si="197"/>
        <v>3433.3333333333335</v>
      </c>
      <c r="BS106" s="243">
        <f t="shared" si="197"/>
        <v>3433.3333333333335</v>
      </c>
      <c r="BT106" s="243">
        <f t="shared" si="197"/>
        <v>3433.3333333333335</v>
      </c>
      <c r="BU106" s="243">
        <f t="shared" si="197"/>
        <v>3433.3333333333335</v>
      </c>
      <c r="BV106" s="243">
        <f t="shared" si="197"/>
        <v>3433.3333333333335</v>
      </c>
      <c r="BW106" s="243">
        <f t="shared" si="197"/>
        <v>3433.3333333333335</v>
      </c>
      <c r="BX106" s="243">
        <f t="shared" si="197"/>
        <v>3536.3333333333335</v>
      </c>
      <c r="BY106" s="243">
        <f t="shared" si="197"/>
        <v>3536.3333333333335</v>
      </c>
      <c r="BZ106" s="243">
        <f t="shared" si="197"/>
        <v>3536.3333333333335</v>
      </c>
      <c r="CA106" s="243">
        <f t="shared" si="197"/>
        <v>3536.3333333333335</v>
      </c>
      <c r="CB106" s="243">
        <f t="shared" si="197"/>
        <v>3536.3333333333335</v>
      </c>
      <c r="CC106" s="243">
        <f t="shared" si="197"/>
        <v>3536.3333333333335</v>
      </c>
      <c r="CD106" s="243">
        <f t="shared" si="197"/>
        <v>3536.3333333333335</v>
      </c>
      <c r="CE106" s="243">
        <f t="shared" si="197"/>
        <v>3536.3333333333335</v>
      </c>
      <c r="CF106" s="243">
        <f t="shared" si="197"/>
        <v>3536.3333333333335</v>
      </c>
      <c r="CG106" s="243">
        <f t="shared" si="197"/>
        <v>3536.3333333333335</v>
      </c>
      <c r="CH106" s="243">
        <f t="shared" si="197"/>
        <v>3536.3333333333335</v>
      </c>
      <c r="CI106" s="272">
        <f t="shared" si="197"/>
        <v>3536.3333333333335</v>
      </c>
      <c r="CJ106" s="243"/>
      <c r="CK106" s="243"/>
      <c r="CL106" s="243"/>
      <c r="CM106" s="243"/>
      <c r="CN106" s="243"/>
      <c r="CO106" s="243"/>
      <c r="CP106" s="243"/>
      <c r="CQ106" s="243"/>
      <c r="CR106" s="243"/>
      <c r="CS106" s="243"/>
      <c r="CT106" s="243"/>
      <c r="CU106" s="243"/>
      <c r="CV106" s="243"/>
      <c r="CW106" s="243"/>
      <c r="CX106" s="243"/>
      <c r="CY106" s="243"/>
      <c r="CZ106" s="243"/>
      <c r="DA106" s="243"/>
      <c r="DB106" s="243"/>
      <c r="DC106" s="243"/>
      <c r="DD106" s="243"/>
      <c r="DE106" s="243"/>
      <c r="DF106" s="243"/>
      <c r="DG106" s="243"/>
      <c r="DH106" s="243"/>
      <c r="DI106" s="243"/>
      <c r="DJ106" s="243"/>
    </row>
    <row r="107" spans="1:87" ht="13.5">
      <c r="A107" s="32" t="s">
        <v>407</v>
      </c>
      <c r="B107" s="32"/>
      <c r="C107" s="26"/>
      <c r="D107" s="26"/>
      <c r="E107" s="246"/>
      <c r="F107" s="111"/>
      <c r="G107" s="23"/>
      <c r="H107" s="23"/>
      <c r="I107" s="23"/>
      <c r="J107" s="246"/>
      <c r="K107" s="158">
        <f>K106*B6</f>
        <v>7499.999999999999</v>
      </c>
      <c r="L107" s="153">
        <f>L106*C6</f>
        <v>10300</v>
      </c>
      <c r="M107" s="153">
        <f>M106*D6</f>
        <v>10609</v>
      </c>
      <c r="N107" s="24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3">
        <f>AZ106*$B$6</f>
        <v>0</v>
      </c>
      <c r="BA107" s="23">
        <f aca="true" t="shared" si="198" ref="BA107:BK107">BA106*$B$6</f>
        <v>0</v>
      </c>
      <c r="BB107" s="23">
        <f t="shared" si="198"/>
        <v>0</v>
      </c>
      <c r="BC107" s="23">
        <f t="shared" si="198"/>
        <v>833.3333333333334</v>
      </c>
      <c r="BD107" s="23">
        <f t="shared" si="198"/>
        <v>833.3333333333334</v>
      </c>
      <c r="BE107" s="23">
        <f t="shared" si="198"/>
        <v>833.3333333333334</v>
      </c>
      <c r="BF107" s="23">
        <f t="shared" si="198"/>
        <v>833.3333333333334</v>
      </c>
      <c r="BG107" s="23">
        <f t="shared" si="198"/>
        <v>833.3333333333334</v>
      </c>
      <c r="BH107" s="23">
        <f t="shared" si="198"/>
        <v>833.3333333333334</v>
      </c>
      <c r="BI107" s="23">
        <f t="shared" si="198"/>
        <v>833.3333333333334</v>
      </c>
      <c r="BJ107" s="23">
        <f t="shared" si="198"/>
        <v>833.3333333333334</v>
      </c>
      <c r="BK107" s="23">
        <f t="shared" si="198"/>
        <v>833.3333333333334</v>
      </c>
      <c r="BL107" s="23">
        <f>BL106*$C$6</f>
        <v>858.3333333333334</v>
      </c>
      <c r="BM107" s="23">
        <f aca="true" t="shared" si="199" ref="BM107:BW107">BM106*$C$6</f>
        <v>858.3333333333334</v>
      </c>
      <c r="BN107" s="23">
        <f t="shared" si="199"/>
        <v>858.3333333333334</v>
      </c>
      <c r="BO107" s="23">
        <f t="shared" si="199"/>
        <v>858.3333333333334</v>
      </c>
      <c r="BP107" s="23">
        <f t="shared" si="199"/>
        <v>858.3333333333334</v>
      </c>
      <c r="BQ107" s="23">
        <f t="shared" si="199"/>
        <v>858.3333333333334</v>
      </c>
      <c r="BR107" s="23">
        <f t="shared" si="199"/>
        <v>858.3333333333334</v>
      </c>
      <c r="BS107" s="23">
        <f t="shared" si="199"/>
        <v>858.3333333333334</v>
      </c>
      <c r="BT107" s="23">
        <f t="shared" si="199"/>
        <v>858.3333333333334</v>
      </c>
      <c r="BU107" s="23">
        <f t="shared" si="199"/>
        <v>858.3333333333334</v>
      </c>
      <c r="BV107" s="23">
        <f t="shared" si="199"/>
        <v>858.3333333333334</v>
      </c>
      <c r="BW107" s="23">
        <f t="shared" si="199"/>
        <v>858.3333333333334</v>
      </c>
      <c r="BX107" s="23">
        <f>BX106*$D$6</f>
        <v>884.0833333333334</v>
      </c>
      <c r="BY107" s="23">
        <f aca="true" t="shared" si="200" ref="BY107:CI107">BY106*$D$6</f>
        <v>884.0833333333334</v>
      </c>
      <c r="BZ107" s="23">
        <f t="shared" si="200"/>
        <v>884.0833333333334</v>
      </c>
      <c r="CA107" s="23">
        <f t="shared" si="200"/>
        <v>884.0833333333334</v>
      </c>
      <c r="CB107" s="23">
        <f t="shared" si="200"/>
        <v>884.0833333333334</v>
      </c>
      <c r="CC107" s="23">
        <f t="shared" si="200"/>
        <v>884.0833333333334</v>
      </c>
      <c r="CD107" s="23">
        <f t="shared" si="200"/>
        <v>884.0833333333334</v>
      </c>
      <c r="CE107" s="23">
        <f t="shared" si="200"/>
        <v>884.0833333333334</v>
      </c>
      <c r="CF107" s="23">
        <f t="shared" si="200"/>
        <v>884.0833333333334</v>
      </c>
      <c r="CG107" s="23">
        <f t="shared" si="200"/>
        <v>884.0833333333334</v>
      </c>
      <c r="CH107" s="23">
        <f t="shared" si="200"/>
        <v>884.0833333333334</v>
      </c>
      <c r="CI107" s="112">
        <f t="shared" si="200"/>
        <v>884.0833333333334</v>
      </c>
    </row>
    <row r="108" spans="1:87" ht="13.5">
      <c r="A108" s="32" t="s">
        <v>329</v>
      </c>
      <c r="B108" s="32"/>
      <c r="C108" s="26"/>
      <c r="D108" s="26"/>
      <c r="E108" s="246"/>
      <c r="F108" s="111"/>
      <c r="G108" s="23"/>
      <c r="H108" s="23"/>
      <c r="I108" s="23"/>
      <c r="J108" s="246"/>
      <c r="K108" s="158">
        <f>K106+K107</f>
        <v>37499.99999999999</v>
      </c>
      <c r="L108" s="153">
        <f>L106+L107</f>
        <v>51500</v>
      </c>
      <c r="M108" s="153">
        <f>M106+M107</f>
        <v>53045</v>
      </c>
      <c r="N108" s="24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3">
        <f>AZ106+AZ107</f>
        <v>0</v>
      </c>
      <c r="BA108" s="23">
        <f aca="true" t="shared" si="201" ref="BA108:CI108">BA106+BA107</f>
        <v>0</v>
      </c>
      <c r="BB108" s="23">
        <f t="shared" si="201"/>
        <v>0</v>
      </c>
      <c r="BC108" s="23">
        <f t="shared" si="201"/>
        <v>4166.666666666667</v>
      </c>
      <c r="BD108" s="23">
        <f t="shared" si="201"/>
        <v>4166.666666666667</v>
      </c>
      <c r="BE108" s="23">
        <f t="shared" si="201"/>
        <v>4166.666666666667</v>
      </c>
      <c r="BF108" s="23">
        <f t="shared" si="201"/>
        <v>4166.666666666667</v>
      </c>
      <c r="BG108" s="23">
        <f t="shared" si="201"/>
        <v>4166.666666666667</v>
      </c>
      <c r="BH108" s="23">
        <f t="shared" si="201"/>
        <v>4166.666666666667</v>
      </c>
      <c r="BI108" s="23">
        <f t="shared" si="201"/>
        <v>4166.666666666667</v>
      </c>
      <c r="BJ108" s="23">
        <f t="shared" si="201"/>
        <v>4166.666666666667</v>
      </c>
      <c r="BK108" s="23">
        <f t="shared" si="201"/>
        <v>4166.666666666667</v>
      </c>
      <c r="BL108" s="23">
        <f t="shared" si="201"/>
        <v>4291.666666666667</v>
      </c>
      <c r="BM108" s="23">
        <f t="shared" si="201"/>
        <v>4291.666666666667</v>
      </c>
      <c r="BN108" s="23">
        <f t="shared" si="201"/>
        <v>4291.666666666667</v>
      </c>
      <c r="BO108" s="23">
        <f t="shared" si="201"/>
        <v>4291.666666666667</v>
      </c>
      <c r="BP108" s="23">
        <f t="shared" si="201"/>
        <v>4291.666666666667</v>
      </c>
      <c r="BQ108" s="23">
        <f t="shared" si="201"/>
        <v>4291.666666666667</v>
      </c>
      <c r="BR108" s="23">
        <f t="shared" si="201"/>
        <v>4291.666666666667</v>
      </c>
      <c r="BS108" s="23">
        <f t="shared" si="201"/>
        <v>4291.666666666667</v>
      </c>
      <c r="BT108" s="23">
        <f t="shared" si="201"/>
        <v>4291.666666666667</v>
      </c>
      <c r="BU108" s="23">
        <f t="shared" si="201"/>
        <v>4291.666666666667</v>
      </c>
      <c r="BV108" s="23">
        <f t="shared" si="201"/>
        <v>4291.666666666667</v>
      </c>
      <c r="BW108" s="23">
        <f t="shared" si="201"/>
        <v>4291.666666666667</v>
      </c>
      <c r="BX108" s="23">
        <f t="shared" si="201"/>
        <v>4420.416666666667</v>
      </c>
      <c r="BY108" s="23">
        <f t="shared" si="201"/>
        <v>4420.416666666667</v>
      </c>
      <c r="BZ108" s="23">
        <f t="shared" si="201"/>
        <v>4420.416666666667</v>
      </c>
      <c r="CA108" s="23">
        <f t="shared" si="201"/>
        <v>4420.416666666667</v>
      </c>
      <c r="CB108" s="23">
        <f t="shared" si="201"/>
        <v>4420.416666666667</v>
      </c>
      <c r="CC108" s="23">
        <f t="shared" si="201"/>
        <v>4420.416666666667</v>
      </c>
      <c r="CD108" s="23">
        <f t="shared" si="201"/>
        <v>4420.416666666667</v>
      </c>
      <c r="CE108" s="23">
        <f t="shared" si="201"/>
        <v>4420.416666666667</v>
      </c>
      <c r="CF108" s="23">
        <f t="shared" si="201"/>
        <v>4420.416666666667</v>
      </c>
      <c r="CG108" s="23">
        <f t="shared" si="201"/>
        <v>4420.416666666667</v>
      </c>
      <c r="CH108" s="23">
        <f t="shared" si="201"/>
        <v>4420.416666666667</v>
      </c>
      <c r="CI108" s="112">
        <f t="shared" si="201"/>
        <v>4420.416666666667</v>
      </c>
    </row>
    <row r="109" spans="1:87" ht="13.5">
      <c r="A109" s="32"/>
      <c r="B109" s="32"/>
      <c r="C109" s="26"/>
      <c r="D109" s="26"/>
      <c r="E109" s="246"/>
      <c r="F109" s="111"/>
      <c r="G109" s="23"/>
      <c r="H109" s="23"/>
      <c r="I109" s="23"/>
      <c r="J109" s="246"/>
      <c r="K109" s="158"/>
      <c r="L109" s="153"/>
      <c r="M109" s="153"/>
      <c r="N109" s="24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112"/>
    </row>
    <row r="110" spans="1:87" ht="13.5">
      <c r="A110" s="271" t="s">
        <v>546</v>
      </c>
      <c r="B110" s="32"/>
      <c r="C110" s="26"/>
      <c r="D110" s="26"/>
      <c r="E110" s="246"/>
      <c r="F110" s="111"/>
      <c r="G110" s="23"/>
      <c r="H110" s="23"/>
      <c r="I110" s="23"/>
      <c r="J110" s="246"/>
      <c r="K110" s="32"/>
      <c r="L110" s="26"/>
      <c r="M110" s="26"/>
      <c r="N110" s="24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112"/>
    </row>
    <row r="111" spans="1:87" ht="13.5">
      <c r="A111" s="32" t="s">
        <v>151</v>
      </c>
      <c r="B111" s="234"/>
      <c r="C111" s="235">
        <v>1</v>
      </c>
      <c r="D111" s="235">
        <v>1</v>
      </c>
      <c r="E111" s="246"/>
      <c r="F111" s="238">
        <v>40000</v>
      </c>
      <c r="G111" s="23">
        <f>F111</f>
        <v>40000</v>
      </c>
      <c r="H111" s="23">
        <f>G111*(1+C5)</f>
        <v>41200</v>
      </c>
      <c r="I111" s="23">
        <f>H111*(1+D5)</f>
        <v>42436</v>
      </c>
      <c r="J111" s="246"/>
      <c r="K111" s="158">
        <f>SUM(AZ111:BK111)</f>
        <v>0</v>
      </c>
      <c r="L111" s="153">
        <f>SUM(BL111:BW111)</f>
        <v>41200</v>
      </c>
      <c r="M111" s="153">
        <f>SUM(BX111:CI111)</f>
        <v>42436</v>
      </c>
      <c r="N111" s="246"/>
      <c r="O111" s="26">
        <f>$B$111</f>
        <v>0</v>
      </c>
      <c r="P111" s="26">
        <f aca="true" t="shared" si="202" ref="P111:Z111">$B$111</f>
        <v>0</v>
      </c>
      <c r="Q111" s="26">
        <f t="shared" si="202"/>
        <v>0</v>
      </c>
      <c r="R111" s="26">
        <f t="shared" si="202"/>
        <v>0</v>
      </c>
      <c r="S111" s="26">
        <f t="shared" si="202"/>
        <v>0</v>
      </c>
      <c r="T111" s="26">
        <f t="shared" si="202"/>
        <v>0</v>
      </c>
      <c r="U111" s="26">
        <f t="shared" si="202"/>
        <v>0</v>
      </c>
      <c r="V111" s="26">
        <f t="shared" si="202"/>
        <v>0</v>
      </c>
      <c r="W111" s="26">
        <f t="shared" si="202"/>
        <v>0</v>
      </c>
      <c r="X111" s="26">
        <f t="shared" si="202"/>
        <v>0</v>
      </c>
      <c r="Y111" s="26">
        <f t="shared" si="202"/>
        <v>0</v>
      </c>
      <c r="Z111" s="26">
        <f t="shared" si="202"/>
        <v>0</v>
      </c>
      <c r="AA111" s="26">
        <f>$C$111</f>
        <v>1</v>
      </c>
      <c r="AB111" s="26">
        <f aca="true" t="shared" si="203" ref="AB111:AL111">$C$111</f>
        <v>1</v>
      </c>
      <c r="AC111" s="26">
        <f t="shared" si="203"/>
        <v>1</v>
      </c>
      <c r="AD111" s="26">
        <f t="shared" si="203"/>
        <v>1</v>
      </c>
      <c r="AE111" s="26">
        <f t="shared" si="203"/>
        <v>1</v>
      </c>
      <c r="AF111" s="26">
        <f t="shared" si="203"/>
        <v>1</v>
      </c>
      <c r="AG111" s="26">
        <f t="shared" si="203"/>
        <v>1</v>
      </c>
      <c r="AH111" s="26">
        <f t="shared" si="203"/>
        <v>1</v>
      </c>
      <c r="AI111" s="26">
        <f t="shared" si="203"/>
        <v>1</v>
      </c>
      <c r="AJ111" s="26">
        <f t="shared" si="203"/>
        <v>1</v>
      </c>
      <c r="AK111" s="26">
        <f t="shared" si="203"/>
        <v>1</v>
      </c>
      <c r="AL111" s="26">
        <f t="shared" si="203"/>
        <v>1</v>
      </c>
      <c r="AM111" s="26">
        <f>$D$111</f>
        <v>1</v>
      </c>
      <c r="AN111" s="26">
        <f aca="true" t="shared" si="204" ref="AN111:AX111">$D$111</f>
        <v>1</v>
      </c>
      <c r="AO111" s="26">
        <f t="shared" si="204"/>
        <v>1</v>
      </c>
      <c r="AP111" s="26">
        <f t="shared" si="204"/>
        <v>1</v>
      </c>
      <c r="AQ111" s="26">
        <f t="shared" si="204"/>
        <v>1</v>
      </c>
      <c r="AR111" s="26">
        <f t="shared" si="204"/>
        <v>1</v>
      </c>
      <c r="AS111" s="26">
        <f t="shared" si="204"/>
        <v>1</v>
      </c>
      <c r="AT111" s="26">
        <f t="shared" si="204"/>
        <v>1</v>
      </c>
      <c r="AU111" s="26">
        <f t="shared" si="204"/>
        <v>1</v>
      </c>
      <c r="AV111" s="26">
        <f t="shared" si="204"/>
        <v>1</v>
      </c>
      <c r="AW111" s="26">
        <f t="shared" si="204"/>
        <v>1</v>
      </c>
      <c r="AX111" s="26">
        <f t="shared" si="204"/>
        <v>1</v>
      </c>
      <c r="AY111" s="26"/>
      <c r="AZ111" s="23">
        <f>($G$111/12)*O111</f>
        <v>0</v>
      </c>
      <c r="BA111" s="23">
        <f aca="true" t="shared" si="205" ref="BA111:BK111">($G$111/12)*P111</f>
        <v>0</v>
      </c>
      <c r="BB111" s="23">
        <f t="shared" si="205"/>
        <v>0</v>
      </c>
      <c r="BC111" s="23">
        <f t="shared" si="205"/>
        <v>0</v>
      </c>
      <c r="BD111" s="23">
        <f t="shared" si="205"/>
        <v>0</v>
      </c>
      <c r="BE111" s="23">
        <f t="shared" si="205"/>
        <v>0</v>
      </c>
      <c r="BF111" s="23">
        <f t="shared" si="205"/>
        <v>0</v>
      </c>
      <c r="BG111" s="23">
        <f t="shared" si="205"/>
        <v>0</v>
      </c>
      <c r="BH111" s="23">
        <f t="shared" si="205"/>
        <v>0</v>
      </c>
      <c r="BI111" s="23">
        <f t="shared" si="205"/>
        <v>0</v>
      </c>
      <c r="BJ111" s="23">
        <f t="shared" si="205"/>
        <v>0</v>
      </c>
      <c r="BK111" s="23">
        <f t="shared" si="205"/>
        <v>0</v>
      </c>
      <c r="BL111" s="23">
        <f>($H$111/12)*AA111</f>
        <v>3433.3333333333335</v>
      </c>
      <c r="BM111" s="23">
        <f aca="true" t="shared" si="206" ref="BM111:BW111">($H$111/12)*AB111</f>
        <v>3433.3333333333335</v>
      </c>
      <c r="BN111" s="23">
        <f t="shared" si="206"/>
        <v>3433.3333333333335</v>
      </c>
      <c r="BO111" s="23">
        <f t="shared" si="206"/>
        <v>3433.3333333333335</v>
      </c>
      <c r="BP111" s="23">
        <f t="shared" si="206"/>
        <v>3433.3333333333335</v>
      </c>
      <c r="BQ111" s="23">
        <f t="shared" si="206"/>
        <v>3433.3333333333335</v>
      </c>
      <c r="BR111" s="23">
        <f t="shared" si="206"/>
        <v>3433.3333333333335</v>
      </c>
      <c r="BS111" s="23">
        <f t="shared" si="206"/>
        <v>3433.3333333333335</v>
      </c>
      <c r="BT111" s="23">
        <f t="shared" si="206"/>
        <v>3433.3333333333335</v>
      </c>
      <c r="BU111" s="23">
        <f t="shared" si="206"/>
        <v>3433.3333333333335</v>
      </c>
      <c r="BV111" s="23">
        <f t="shared" si="206"/>
        <v>3433.3333333333335</v>
      </c>
      <c r="BW111" s="23">
        <f t="shared" si="206"/>
        <v>3433.3333333333335</v>
      </c>
      <c r="BX111" s="23">
        <f>($I$111/12)*AM111</f>
        <v>3536.3333333333335</v>
      </c>
      <c r="BY111" s="23">
        <f aca="true" t="shared" si="207" ref="BY111:CI111">($I$111/12)*AN111</f>
        <v>3536.3333333333335</v>
      </c>
      <c r="BZ111" s="23">
        <f t="shared" si="207"/>
        <v>3536.3333333333335</v>
      </c>
      <c r="CA111" s="23">
        <f t="shared" si="207"/>
        <v>3536.3333333333335</v>
      </c>
      <c r="CB111" s="23">
        <f t="shared" si="207"/>
        <v>3536.3333333333335</v>
      </c>
      <c r="CC111" s="23">
        <f t="shared" si="207"/>
        <v>3536.3333333333335</v>
      </c>
      <c r="CD111" s="23">
        <f t="shared" si="207"/>
        <v>3536.3333333333335</v>
      </c>
      <c r="CE111" s="23">
        <f t="shared" si="207"/>
        <v>3536.3333333333335</v>
      </c>
      <c r="CF111" s="23">
        <f t="shared" si="207"/>
        <v>3536.3333333333335</v>
      </c>
      <c r="CG111" s="23">
        <f t="shared" si="207"/>
        <v>3536.3333333333335</v>
      </c>
      <c r="CH111" s="23">
        <f t="shared" si="207"/>
        <v>3536.3333333333335</v>
      </c>
      <c r="CI111" s="112">
        <f t="shared" si="207"/>
        <v>3536.3333333333335</v>
      </c>
    </row>
    <row r="112" spans="1:114" s="52" customFormat="1" ht="12.75" customHeight="1">
      <c r="A112" s="38" t="s">
        <v>152</v>
      </c>
      <c r="B112" s="236"/>
      <c r="C112" s="237">
        <v>0.3</v>
      </c>
      <c r="D112" s="237">
        <v>0.3</v>
      </c>
      <c r="E112" s="248"/>
      <c r="F112" s="239">
        <v>35000</v>
      </c>
      <c r="G112" s="116">
        <f>F112</f>
        <v>35000</v>
      </c>
      <c r="H112" s="116">
        <f>G112*(1+C5)</f>
        <v>36050</v>
      </c>
      <c r="I112" s="116">
        <f>H112*(1+D5)</f>
        <v>37131.5</v>
      </c>
      <c r="J112" s="248"/>
      <c r="K112" s="214">
        <f>SUM(AZ112:BK112)</f>
        <v>0</v>
      </c>
      <c r="L112" s="215">
        <f>SUM(BL112:BW112)</f>
        <v>10814.999999999998</v>
      </c>
      <c r="M112" s="215">
        <f>SUM(BX112:CI112)</f>
        <v>11139.450000000003</v>
      </c>
      <c r="N112" s="248"/>
      <c r="O112" s="52">
        <f>$B$112</f>
        <v>0</v>
      </c>
      <c r="P112" s="52">
        <f aca="true" t="shared" si="208" ref="P112:Z112">$B$112</f>
        <v>0</v>
      </c>
      <c r="Q112" s="52">
        <f t="shared" si="208"/>
        <v>0</v>
      </c>
      <c r="R112" s="52">
        <f t="shared" si="208"/>
        <v>0</v>
      </c>
      <c r="S112" s="52">
        <f t="shared" si="208"/>
        <v>0</v>
      </c>
      <c r="T112" s="52">
        <f t="shared" si="208"/>
        <v>0</v>
      </c>
      <c r="U112" s="52">
        <f t="shared" si="208"/>
        <v>0</v>
      </c>
      <c r="V112" s="52">
        <f t="shared" si="208"/>
        <v>0</v>
      </c>
      <c r="W112" s="52">
        <f t="shared" si="208"/>
        <v>0</v>
      </c>
      <c r="X112" s="52">
        <f t="shared" si="208"/>
        <v>0</v>
      </c>
      <c r="Y112" s="52">
        <f t="shared" si="208"/>
        <v>0</v>
      </c>
      <c r="Z112" s="52">
        <f t="shared" si="208"/>
        <v>0</v>
      </c>
      <c r="AA112" s="52">
        <f>$C$112</f>
        <v>0.3</v>
      </c>
      <c r="AB112" s="52">
        <f aca="true" t="shared" si="209" ref="AB112:AL112">$C$112</f>
        <v>0.3</v>
      </c>
      <c r="AC112" s="52">
        <f t="shared" si="209"/>
        <v>0.3</v>
      </c>
      <c r="AD112" s="52">
        <f t="shared" si="209"/>
        <v>0.3</v>
      </c>
      <c r="AE112" s="52">
        <f t="shared" si="209"/>
        <v>0.3</v>
      </c>
      <c r="AF112" s="52">
        <f t="shared" si="209"/>
        <v>0.3</v>
      </c>
      <c r="AG112" s="52">
        <f t="shared" si="209"/>
        <v>0.3</v>
      </c>
      <c r="AH112" s="52">
        <f t="shared" si="209"/>
        <v>0.3</v>
      </c>
      <c r="AI112" s="52">
        <f t="shared" si="209"/>
        <v>0.3</v>
      </c>
      <c r="AJ112" s="52">
        <f t="shared" si="209"/>
        <v>0.3</v>
      </c>
      <c r="AK112" s="52">
        <f t="shared" si="209"/>
        <v>0.3</v>
      </c>
      <c r="AL112" s="52">
        <f t="shared" si="209"/>
        <v>0.3</v>
      </c>
      <c r="AM112" s="52">
        <f>$D$112</f>
        <v>0.3</v>
      </c>
      <c r="AN112" s="52">
        <f aca="true" t="shared" si="210" ref="AN112:AX112">$D$112</f>
        <v>0.3</v>
      </c>
      <c r="AO112" s="52">
        <f t="shared" si="210"/>
        <v>0.3</v>
      </c>
      <c r="AP112" s="52">
        <f t="shared" si="210"/>
        <v>0.3</v>
      </c>
      <c r="AQ112" s="52">
        <f t="shared" si="210"/>
        <v>0.3</v>
      </c>
      <c r="AR112" s="52">
        <f t="shared" si="210"/>
        <v>0.3</v>
      </c>
      <c r="AS112" s="52">
        <f t="shared" si="210"/>
        <v>0.3</v>
      </c>
      <c r="AT112" s="52">
        <f t="shared" si="210"/>
        <v>0.3</v>
      </c>
      <c r="AU112" s="52">
        <f t="shared" si="210"/>
        <v>0.3</v>
      </c>
      <c r="AV112" s="52">
        <f t="shared" si="210"/>
        <v>0.3</v>
      </c>
      <c r="AW112" s="52">
        <f t="shared" si="210"/>
        <v>0.3</v>
      </c>
      <c r="AX112" s="52">
        <f t="shared" si="210"/>
        <v>0.3</v>
      </c>
      <c r="AZ112" s="116">
        <f>($G$112/12)*O112</f>
        <v>0</v>
      </c>
      <c r="BA112" s="116">
        <f aca="true" t="shared" si="211" ref="BA112:BK112">($G$112/12)*P112</f>
        <v>0</v>
      </c>
      <c r="BB112" s="116">
        <f t="shared" si="211"/>
        <v>0</v>
      </c>
      <c r="BC112" s="116">
        <f t="shared" si="211"/>
        <v>0</v>
      </c>
      <c r="BD112" s="116">
        <f t="shared" si="211"/>
        <v>0</v>
      </c>
      <c r="BE112" s="116">
        <f t="shared" si="211"/>
        <v>0</v>
      </c>
      <c r="BF112" s="116">
        <f t="shared" si="211"/>
        <v>0</v>
      </c>
      <c r="BG112" s="116">
        <f t="shared" si="211"/>
        <v>0</v>
      </c>
      <c r="BH112" s="116">
        <f t="shared" si="211"/>
        <v>0</v>
      </c>
      <c r="BI112" s="116">
        <f t="shared" si="211"/>
        <v>0</v>
      </c>
      <c r="BJ112" s="116">
        <f t="shared" si="211"/>
        <v>0</v>
      </c>
      <c r="BK112" s="116">
        <f t="shared" si="211"/>
        <v>0</v>
      </c>
      <c r="BL112" s="116">
        <f>($H$112/12)*AA112</f>
        <v>901.2499999999999</v>
      </c>
      <c r="BM112" s="116">
        <f aca="true" t="shared" si="212" ref="BM112:BW112">($H$112/12)*AB112</f>
        <v>901.2499999999999</v>
      </c>
      <c r="BN112" s="116">
        <f t="shared" si="212"/>
        <v>901.2499999999999</v>
      </c>
      <c r="BO112" s="116">
        <f t="shared" si="212"/>
        <v>901.2499999999999</v>
      </c>
      <c r="BP112" s="116">
        <f t="shared" si="212"/>
        <v>901.2499999999999</v>
      </c>
      <c r="BQ112" s="116">
        <f t="shared" si="212"/>
        <v>901.2499999999999</v>
      </c>
      <c r="BR112" s="116">
        <f t="shared" si="212"/>
        <v>901.2499999999999</v>
      </c>
      <c r="BS112" s="116">
        <f t="shared" si="212"/>
        <v>901.2499999999999</v>
      </c>
      <c r="BT112" s="116">
        <f t="shared" si="212"/>
        <v>901.2499999999999</v>
      </c>
      <c r="BU112" s="116">
        <f t="shared" si="212"/>
        <v>901.2499999999999</v>
      </c>
      <c r="BV112" s="116">
        <f t="shared" si="212"/>
        <v>901.2499999999999</v>
      </c>
      <c r="BW112" s="116">
        <f t="shared" si="212"/>
        <v>901.2499999999999</v>
      </c>
      <c r="BX112" s="116">
        <f>($I$112/12)*AM112</f>
        <v>928.2874999999999</v>
      </c>
      <c r="BY112" s="116">
        <f aca="true" t="shared" si="213" ref="BY112:CI112">($I$112/12)*AN112</f>
        <v>928.2874999999999</v>
      </c>
      <c r="BZ112" s="116">
        <f t="shared" si="213"/>
        <v>928.2874999999999</v>
      </c>
      <c r="CA112" s="116">
        <f t="shared" si="213"/>
        <v>928.2874999999999</v>
      </c>
      <c r="CB112" s="116">
        <f t="shared" si="213"/>
        <v>928.2874999999999</v>
      </c>
      <c r="CC112" s="116">
        <f t="shared" si="213"/>
        <v>928.2874999999999</v>
      </c>
      <c r="CD112" s="116">
        <f t="shared" si="213"/>
        <v>928.2874999999999</v>
      </c>
      <c r="CE112" s="116">
        <f t="shared" si="213"/>
        <v>928.2874999999999</v>
      </c>
      <c r="CF112" s="116">
        <f t="shared" si="213"/>
        <v>928.2874999999999</v>
      </c>
      <c r="CG112" s="116">
        <f t="shared" si="213"/>
        <v>928.2874999999999</v>
      </c>
      <c r="CH112" s="116">
        <f t="shared" si="213"/>
        <v>928.2874999999999</v>
      </c>
      <c r="CI112" s="119">
        <f t="shared" si="213"/>
        <v>928.2874999999999</v>
      </c>
      <c r="CJ112" s="116"/>
      <c r="CK112" s="116"/>
      <c r="CL112" s="116"/>
      <c r="CM112" s="116"/>
      <c r="CN112" s="116"/>
      <c r="CO112" s="116"/>
      <c r="CP112" s="116"/>
      <c r="CQ112" s="116"/>
      <c r="CR112" s="116"/>
      <c r="CS112" s="116"/>
      <c r="CT112" s="116"/>
      <c r="CU112" s="116"/>
      <c r="CV112" s="116"/>
      <c r="CW112" s="116"/>
      <c r="CX112" s="116"/>
      <c r="CY112" s="116"/>
      <c r="CZ112" s="116"/>
      <c r="DA112" s="116"/>
      <c r="DB112" s="116"/>
      <c r="DC112" s="116"/>
      <c r="DD112" s="116"/>
      <c r="DE112" s="116"/>
      <c r="DF112" s="116"/>
      <c r="DG112" s="116"/>
      <c r="DH112" s="116"/>
      <c r="DI112" s="116"/>
      <c r="DJ112" s="116"/>
    </row>
    <row r="113" spans="1:114" s="52" customFormat="1" ht="12.75" customHeight="1">
      <c r="A113" s="38" t="s">
        <v>195</v>
      </c>
      <c r="B113" s="38">
        <f>SUM(B111:B112)</f>
        <v>0</v>
      </c>
      <c r="C113" s="52">
        <f>SUM(C111:C112)</f>
        <v>1.3</v>
      </c>
      <c r="D113" s="52">
        <f>SUM(D111:D112)</f>
        <v>1.3</v>
      </c>
      <c r="E113" s="248"/>
      <c r="F113" s="118"/>
      <c r="G113" s="116"/>
      <c r="H113" s="116"/>
      <c r="I113" s="116"/>
      <c r="J113" s="248"/>
      <c r="K113" s="214">
        <f>SUM(K111:K112)</f>
        <v>0</v>
      </c>
      <c r="L113" s="215">
        <f>SUM(L111:L112)</f>
        <v>52015</v>
      </c>
      <c r="M113" s="215">
        <f>SUM(M111:M112)</f>
        <v>53575.450000000004</v>
      </c>
      <c r="N113" s="248"/>
      <c r="O113" s="52">
        <f aca="true" t="shared" si="214" ref="O113:AX113">SUM(O111:O112)</f>
        <v>0</v>
      </c>
      <c r="P113" s="52">
        <f t="shared" si="214"/>
        <v>0</v>
      </c>
      <c r="Q113" s="52">
        <f t="shared" si="214"/>
        <v>0</v>
      </c>
      <c r="R113" s="52">
        <f t="shared" si="214"/>
        <v>0</v>
      </c>
      <c r="S113" s="52">
        <f t="shared" si="214"/>
        <v>0</v>
      </c>
      <c r="T113" s="52">
        <f t="shared" si="214"/>
        <v>0</v>
      </c>
      <c r="U113" s="52">
        <f t="shared" si="214"/>
        <v>0</v>
      </c>
      <c r="V113" s="52">
        <f t="shared" si="214"/>
        <v>0</v>
      </c>
      <c r="W113" s="52">
        <f t="shared" si="214"/>
        <v>0</v>
      </c>
      <c r="X113" s="52">
        <f t="shared" si="214"/>
        <v>0</v>
      </c>
      <c r="Y113" s="52">
        <f t="shared" si="214"/>
        <v>0</v>
      </c>
      <c r="Z113" s="52">
        <f t="shared" si="214"/>
        <v>0</v>
      </c>
      <c r="AA113" s="52">
        <f t="shared" si="214"/>
        <v>1.3</v>
      </c>
      <c r="AB113" s="52">
        <f t="shared" si="214"/>
        <v>1.3</v>
      </c>
      <c r="AC113" s="52">
        <f t="shared" si="214"/>
        <v>1.3</v>
      </c>
      <c r="AD113" s="52">
        <f t="shared" si="214"/>
        <v>1.3</v>
      </c>
      <c r="AE113" s="52">
        <f t="shared" si="214"/>
        <v>1.3</v>
      </c>
      <c r="AF113" s="52">
        <f t="shared" si="214"/>
        <v>1.3</v>
      </c>
      <c r="AG113" s="52">
        <f t="shared" si="214"/>
        <v>1.3</v>
      </c>
      <c r="AH113" s="52">
        <f t="shared" si="214"/>
        <v>1.3</v>
      </c>
      <c r="AI113" s="52">
        <f t="shared" si="214"/>
        <v>1.3</v>
      </c>
      <c r="AJ113" s="52">
        <f t="shared" si="214"/>
        <v>1.3</v>
      </c>
      <c r="AK113" s="52">
        <f t="shared" si="214"/>
        <v>1.3</v>
      </c>
      <c r="AL113" s="52">
        <f t="shared" si="214"/>
        <v>1.3</v>
      </c>
      <c r="AM113" s="52">
        <f t="shared" si="214"/>
        <v>1.3</v>
      </c>
      <c r="AN113" s="52">
        <f t="shared" si="214"/>
        <v>1.3</v>
      </c>
      <c r="AO113" s="52">
        <f t="shared" si="214"/>
        <v>1.3</v>
      </c>
      <c r="AP113" s="52">
        <f t="shared" si="214"/>
        <v>1.3</v>
      </c>
      <c r="AQ113" s="52">
        <f t="shared" si="214"/>
        <v>1.3</v>
      </c>
      <c r="AR113" s="52">
        <f t="shared" si="214"/>
        <v>1.3</v>
      </c>
      <c r="AS113" s="52">
        <f t="shared" si="214"/>
        <v>1.3</v>
      </c>
      <c r="AT113" s="52">
        <f t="shared" si="214"/>
        <v>1.3</v>
      </c>
      <c r="AU113" s="52">
        <f t="shared" si="214"/>
        <v>1.3</v>
      </c>
      <c r="AV113" s="52">
        <f t="shared" si="214"/>
        <v>1.3</v>
      </c>
      <c r="AW113" s="52">
        <f t="shared" si="214"/>
        <v>1.3</v>
      </c>
      <c r="AX113" s="52">
        <f t="shared" si="214"/>
        <v>1.3</v>
      </c>
      <c r="AZ113" s="116">
        <f aca="true" t="shared" si="215" ref="AZ113:CI113">SUM(AZ111:AZ112)</f>
        <v>0</v>
      </c>
      <c r="BA113" s="116">
        <f t="shared" si="215"/>
        <v>0</v>
      </c>
      <c r="BB113" s="116">
        <f t="shared" si="215"/>
        <v>0</v>
      </c>
      <c r="BC113" s="116">
        <f t="shared" si="215"/>
        <v>0</v>
      </c>
      <c r="BD113" s="116">
        <f t="shared" si="215"/>
        <v>0</v>
      </c>
      <c r="BE113" s="116">
        <f t="shared" si="215"/>
        <v>0</v>
      </c>
      <c r="BF113" s="116">
        <f t="shared" si="215"/>
        <v>0</v>
      </c>
      <c r="BG113" s="116">
        <f t="shared" si="215"/>
        <v>0</v>
      </c>
      <c r="BH113" s="116">
        <f t="shared" si="215"/>
        <v>0</v>
      </c>
      <c r="BI113" s="116">
        <f t="shared" si="215"/>
        <v>0</v>
      </c>
      <c r="BJ113" s="116">
        <f t="shared" si="215"/>
        <v>0</v>
      </c>
      <c r="BK113" s="116">
        <f t="shared" si="215"/>
        <v>0</v>
      </c>
      <c r="BL113" s="116">
        <f t="shared" si="215"/>
        <v>4334.583333333333</v>
      </c>
      <c r="BM113" s="116">
        <f t="shared" si="215"/>
        <v>4334.583333333333</v>
      </c>
      <c r="BN113" s="116">
        <f t="shared" si="215"/>
        <v>4334.583333333333</v>
      </c>
      <c r="BO113" s="116">
        <f t="shared" si="215"/>
        <v>4334.583333333333</v>
      </c>
      <c r="BP113" s="116">
        <f t="shared" si="215"/>
        <v>4334.583333333333</v>
      </c>
      <c r="BQ113" s="116">
        <f t="shared" si="215"/>
        <v>4334.583333333333</v>
      </c>
      <c r="BR113" s="116">
        <f t="shared" si="215"/>
        <v>4334.583333333333</v>
      </c>
      <c r="BS113" s="116">
        <f t="shared" si="215"/>
        <v>4334.583333333333</v>
      </c>
      <c r="BT113" s="116">
        <f t="shared" si="215"/>
        <v>4334.583333333333</v>
      </c>
      <c r="BU113" s="116">
        <f t="shared" si="215"/>
        <v>4334.583333333333</v>
      </c>
      <c r="BV113" s="116">
        <f t="shared" si="215"/>
        <v>4334.583333333333</v>
      </c>
      <c r="BW113" s="116">
        <f t="shared" si="215"/>
        <v>4334.583333333333</v>
      </c>
      <c r="BX113" s="116">
        <f t="shared" si="215"/>
        <v>4464.620833333333</v>
      </c>
      <c r="BY113" s="116">
        <f t="shared" si="215"/>
        <v>4464.620833333333</v>
      </c>
      <c r="BZ113" s="116">
        <f t="shared" si="215"/>
        <v>4464.620833333333</v>
      </c>
      <c r="CA113" s="116">
        <f t="shared" si="215"/>
        <v>4464.620833333333</v>
      </c>
      <c r="CB113" s="116">
        <f t="shared" si="215"/>
        <v>4464.620833333333</v>
      </c>
      <c r="CC113" s="116">
        <f t="shared" si="215"/>
        <v>4464.620833333333</v>
      </c>
      <c r="CD113" s="116">
        <f t="shared" si="215"/>
        <v>4464.620833333333</v>
      </c>
      <c r="CE113" s="116">
        <f t="shared" si="215"/>
        <v>4464.620833333333</v>
      </c>
      <c r="CF113" s="116">
        <f t="shared" si="215"/>
        <v>4464.620833333333</v>
      </c>
      <c r="CG113" s="116">
        <f t="shared" si="215"/>
        <v>4464.620833333333</v>
      </c>
      <c r="CH113" s="116">
        <f t="shared" si="215"/>
        <v>4464.620833333333</v>
      </c>
      <c r="CI113" s="119">
        <f t="shared" si="215"/>
        <v>4464.620833333333</v>
      </c>
      <c r="CJ113" s="116"/>
      <c r="CK113" s="116"/>
      <c r="CL113" s="116"/>
      <c r="CM113" s="116"/>
      <c r="CN113" s="116"/>
      <c r="CO113" s="116"/>
      <c r="CP113" s="116"/>
      <c r="CQ113" s="116"/>
      <c r="CR113" s="116"/>
      <c r="CS113" s="116"/>
      <c r="CT113" s="116"/>
      <c r="CU113" s="116"/>
      <c r="CV113" s="116"/>
      <c r="CW113" s="116"/>
      <c r="CX113" s="116"/>
      <c r="CY113" s="116"/>
      <c r="CZ113" s="116"/>
      <c r="DA113" s="116"/>
      <c r="DB113" s="116"/>
      <c r="DC113" s="116"/>
      <c r="DD113" s="116"/>
      <c r="DE113" s="116"/>
      <c r="DF113" s="116"/>
      <c r="DG113" s="116"/>
      <c r="DH113" s="116"/>
      <c r="DI113" s="116"/>
      <c r="DJ113" s="116"/>
    </row>
    <row r="114" spans="1:114" s="26" customFormat="1" ht="12.75" customHeight="1">
      <c r="A114" s="211" t="s">
        <v>407</v>
      </c>
      <c r="B114" s="32"/>
      <c r="E114" s="246"/>
      <c r="F114" s="111"/>
      <c r="G114" s="23"/>
      <c r="H114" s="23"/>
      <c r="I114" s="23"/>
      <c r="J114" s="246"/>
      <c r="K114" s="158">
        <f>K113*B6</f>
        <v>0</v>
      </c>
      <c r="L114" s="153">
        <f>L113*C6</f>
        <v>13003.75</v>
      </c>
      <c r="M114" s="153">
        <f>M113*D6</f>
        <v>13393.862500000001</v>
      </c>
      <c r="N114" s="246"/>
      <c r="AZ114" s="23">
        <f>AZ113*$B$6</f>
        <v>0</v>
      </c>
      <c r="BA114" s="23">
        <f aca="true" t="shared" si="216" ref="BA114:BK114">BA113*$B$6</f>
        <v>0</v>
      </c>
      <c r="BB114" s="23">
        <f t="shared" si="216"/>
        <v>0</v>
      </c>
      <c r="BC114" s="23">
        <f t="shared" si="216"/>
        <v>0</v>
      </c>
      <c r="BD114" s="23">
        <f t="shared" si="216"/>
        <v>0</v>
      </c>
      <c r="BE114" s="23">
        <f t="shared" si="216"/>
        <v>0</v>
      </c>
      <c r="BF114" s="23">
        <f t="shared" si="216"/>
        <v>0</v>
      </c>
      <c r="BG114" s="23">
        <f t="shared" si="216"/>
        <v>0</v>
      </c>
      <c r="BH114" s="23">
        <f t="shared" si="216"/>
        <v>0</v>
      </c>
      <c r="BI114" s="23">
        <f t="shared" si="216"/>
        <v>0</v>
      </c>
      <c r="BJ114" s="23">
        <f t="shared" si="216"/>
        <v>0</v>
      </c>
      <c r="BK114" s="23">
        <f t="shared" si="216"/>
        <v>0</v>
      </c>
      <c r="BL114" s="23">
        <f>BL113*$C$6</f>
        <v>1083.6458333333333</v>
      </c>
      <c r="BM114" s="23">
        <f aca="true" t="shared" si="217" ref="BM114:BW114">BM113*$C$6</f>
        <v>1083.6458333333333</v>
      </c>
      <c r="BN114" s="23">
        <f t="shared" si="217"/>
        <v>1083.6458333333333</v>
      </c>
      <c r="BO114" s="23">
        <f t="shared" si="217"/>
        <v>1083.6458333333333</v>
      </c>
      <c r="BP114" s="23">
        <f t="shared" si="217"/>
        <v>1083.6458333333333</v>
      </c>
      <c r="BQ114" s="23">
        <f t="shared" si="217"/>
        <v>1083.6458333333333</v>
      </c>
      <c r="BR114" s="23">
        <f t="shared" si="217"/>
        <v>1083.6458333333333</v>
      </c>
      <c r="BS114" s="23">
        <f t="shared" si="217"/>
        <v>1083.6458333333333</v>
      </c>
      <c r="BT114" s="23">
        <f t="shared" si="217"/>
        <v>1083.6458333333333</v>
      </c>
      <c r="BU114" s="23">
        <f t="shared" si="217"/>
        <v>1083.6458333333333</v>
      </c>
      <c r="BV114" s="23">
        <f t="shared" si="217"/>
        <v>1083.6458333333333</v>
      </c>
      <c r="BW114" s="23">
        <f t="shared" si="217"/>
        <v>1083.6458333333333</v>
      </c>
      <c r="BX114" s="23">
        <f>BX113*$D$6</f>
        <v>1116.1552083333333</v>
      </c>
      <c r="BY114" s="23">
        <f aca="true" t="shared" si="218" ref="BY114:CI114">BY113*$D$6</f>
        <v>1116.1552083333333</v>
      </c>
      <c r="BZ114" s="23">
        <f t="shared" si="218"/>
        <v>1116.1552083333333</v>
      </c>
      <c r="CA114" s="23">
        <f t="shared" si="218"/>
        <v>1116.1552083333333</v>
      </c>
      <c r="CB114" s="23">
        <f t="shared" si="218"/>
        <v>1116.1552083333333</v>
      </c>
      <c r="CC114" s="23">
        <f t="shared" si="218"/>
        <v>1116.1552083333333</v>
      </c>
      <c r="CD114" s="23">
        <f t="shared" si="218"/>
        <v>1116.1552083333333</v>
      </c>
      <c r="CE114" s="23">
        <f t="shared" si="218"/>
        <v>1116.1552083333333</v>
      </c>
      <c r="CF114" s="23">
        <f t="shared" si="218"/>
        <v>1116.1552083333333</v>
      </c>
      <c r="CG114" s="23">
        <f t="shared" si="218"/>
        <v>1116.1552083333333</v>
      </c>
      <c r="CH114" s="23">
        <f t="shared" si="218"/>
        <v>1116.1552083333333</v>
      </c>
      <c r="CI114" s="112">
        <f t="shared" si="218"/>
        <v>1116.1552083333333</v>
      </c>
      <c r="CJ114" s="23"/>
      <c r="CK114" s="23"/>
      <c r="CL114" s="23"/>
      <c r="CM114" s="23"/>
      <c r="CN114" s="23"/>
      <c r="CO114" s="23"/>
      <c r="CP114" s="23"/>
      <c r="CQ114" s="23"/>
      <c r="CR114" s="23"/>
      <c r="CS114" s="23"/>
      <c r="CT114" s="23"/>
      <c r="CU114" s="23"/>
      <c r="CV114" s="23"/>
      <c r="CW114" s="23"/>
      <c r="CX114" s="23"/>
      <c r="CY114" s="23"/>
      <c r="CZ114" s="23"/>
      <c r="DA114" s="23"/>
      <c r="DB114" s="23"/>
      <c r="DC114" s="23"/>
      <c r="DD114" s="23"/>
      <c r="DE114" s="23"/>
      <c r="DF114" s="23"/>
      <c r="DG114" s="23"/>
      <c r="DH114" s="23"/>
      <c r="DI114" s="23"/>
      <c r="DJ114" s="23"/>
    </row>
    <row r="115" spans="1:114" s="26" customFormat="1" ht="12.75" customHeight="1">
      <c r="A115" s="211" t="s">
        <v>150</v>
      </c>
      <c r="B115" s="32"/>
      <c r="E115" s="246"/>
      <c r="F115" s="111"/>
      <c r="G115" s="23"/>
      <c r="H115" s="23"/>
      <c r="I115" s="23"/>
      <c r="J115" s="246"/>
      <c r="K115" s="158">
        <f>K113+K114</f>
        <v>0</v>
      </c>
      <c r="L115" s="153">
        <f>L113+L114</f>
        <v>65018.75</v>
      </c>
      <c r="M115" s="153">
        <f>M113+M114</f>
        <v>66969.3125</v>
      </c>
      <c r="N115" s="246"/>
      <c r="AZ115" s="23">
        <f>AZ113+AZ114</f>
        <v>0</v>
      </c>
      <c r="BA115" s="23">
        <f aca="true" t="shared" si="219" ref="BA115:CI115">BA113+BA114</f>
        <v>0</v>
      </c>
      <c r="BB115" s="23">
        <f t="shared" si="219"/>
        <v>0</v>
      </c>
      <c r="BC115" s="23">
        <f t="shared" si="219"/>
        <v>0</v>
      </c>
      <c r="BD115" s="23">
        <f t="shared" si="219"/>
        <v>0</v>
      </c>
      <c r="BE115" s="23">
        <f t="shared" si="219"/>
        <v>0</v>
      </c>
      <c r="BF115" s="23">
        <f t="shared" si="219"/>
        <v>0</v>
      </c>
      <c r="BG115" s="23">
        <f t="shared" si="219"/>
        <v>0</v>
      </c>
      <c r="BH115" s="23">
        <f t="shared" si="219"/>
        <v>0</v>
      </c>
      <c r="BI115" s="23">
        <f t="shared" si="219"/>
        <v>0</v>
      </c>
      <c r="BJ115" s="23">
        <f t="shared" si="219"/>
        <v>0</v>
      </c>
      <c r="BK115" s="23">
        <f t="shared" si="219"/>
        <v>0</v>
      </c>
      <c r="BL115" s="23">
        <f t="shared" si="219"/>
        <v>5418.229166666666</v>
      </c>
      <c r="BM115" s="23">
        <f t="shared" si="219"/>
        <v>5418.229166666666</v>
      </c>
      <c r="BN115" s="23">
        <f t="shared" si="219"/>
        <v>5418.229166666666</v>
      </c>
      <c r="BO115" s="23">
        <f t="shared" si="219"/>
        <v>5418.229166666666</v>
      </c>
      <c r="BP115" s="23">
        <f t="shared" si="219"/>
        <v>5418.229166666666</v>
      </c>
      <c r="BQ115" s="23">
        <f t="shared" si="219"/>
        <v>5418.229166666666</v>
      </c>
      <c r="BR115" s="23">
        <f t="shared" si="219"/>
        <v>5418.229166666666</v>
      </c>
      <c r="BS115" s="23">
        <f t="shared" si="219"/>
        <v>5418.229166666666</v>
      </c>
      <c r="BT115" s="23">
        <f t="shared" si="219"/>
        <v>5418.229166666666</v>
      </c>
      <c r="BU115" s="23">
        <f t="shared" si="219"/>
        <v>5418.229166666666</v>
      </c>
      <c r="BV115" s="23">
        <f t="shared" si="219"/>
        <v>5418.229166666666</v>
      </c>
      <c r="BW115" s="23">
        <f t="shared" si="219"/>
        <v>5418.229166666666</v>
      </c>
      <c r="BX115" s="23">
        <f t="shared" si="219"/>
        <v>5580.776041666667</v>
      </c>
      <c r="BY115" s="23">
        <f t="shared" si="219"/>
        <v>5580.776041666667</v>
      </c>
      <c r="BZ115" s="23">
        <f t="shared" si="219"/>
        <v>5580.776041666667</v>
      </c>
      <c r="CA115" s="23">
        <f t="shared" si="219"/>
        <v>5580.776041666667</v>
      </c>
      <c r="CB115" s="23">
        <f t="shared" si="219"/>
        <v>5580.776041666667</v>
      </c>
      <c r="CC115" s="23">
        <f t="shared" si="219"/>
        <v>5580.776041666667</v>
      </c>
      <c r="CD115" s="23">
        <f t="shared" si="219"/>
        <v>5580.776041666667</v>
      </c>
      <c r="CE115" s="23">
        <f t="shared" si="219"/>
        <v>5580.776041666667</v>
      </c>
      <c r="CF115" s="23">
        <f t="shared" si="219"/>
        <v>5580.776041666667</v>
      </c>
      <c r="CG115" s="23">
        <f t="shared" si="219"/>
        <v>5580.776041666667</v>
      </c>
      <c r="CH115" s="23">
        <f t="shared" si="219"/>
        <v>5580.776041666667</v>
      </c>
      <c r="CI115" s="112">
        <f t="shared" si="219"/>
        <v>5580.776041666667</v>
      </c>
      <c r="CJ115" s="23"/>
      <c r="CK115" s="23"/>
      <c r="CL115" s="23"/>
      <c r="CM115" s="23"/>
      <c r="CN115" s="23"/>
      <c r="CO115" s="23"/>
      <c r="CP115" s="23"/>
      <c r="CQ115" s="23"/>
      <c r="CR115" s="23"/>
      <c r="CS115" s="23"/>
      <c r="CT115" s="23"/>
      <c r="CU115" s="23"/>
      <c r="CV115" s="23"/>
      <c r="CW115" s="23"/>
      <c r="CX115" s="23"/>
      <c r="CY115" s="23"/>
      <c r="CZ115" s="23"/>
      <c r="DA115" s="23"/>
      <c r="DB115" s="23"/>
      <c r="DC115" s="23"/>
      <c r="DD115" s="23"/>
      <c r="DE115" s="23"/>
      <c r="DF115" s="23"/>
      <c r="DG115" s="23"/>
      <c r="DH115" s="23"/>
      <c r="DI115" s="23"/>
      <c r="DJ115" s="23"/>
    </row>
    <row r="116" spans="1:87" ht="13.5">
      <c r="A116" s="32"/>
      <c r="B116" s="32"/>
      <c r="C116" s="26"/>
      <c r="D116" s="26"/>
      <c r="E116" s="246"/>
      <c r="F116" s="111"/>
      <c r="G116" s="23"/>
      <c r="H116" s="23"/>
      <c r="I116" s="23"/>
      <c r="J116" s="246"/>
      <c r="K116" s="158"/>
      <c r="L116" s="153"/>
      <c r="M116" s="153"/>
      <c r="N116" s="24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112"/>
    </row>
    <row r="117" spans="1:87" ht="13.5">
      <c r="A117" s="32"/>
      <c r="B117" s="32"/>
      <c r="C117" s="26"/>
      <c r="D117" s="26"/>
      <c r="E117" s="246"/>
      <c r="F117" s="111"/>
      <c r="G117" s="23"/>
      <c r="H117" s="23"/>
      <c r="I117" s="23"/>
      <c r="J117" s="246"/>
      <c r="K117" s="158"/>
      <c r="L117" s="153"/>
      <c r="M117" s="153"/>
      <c r="N117" s="24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112"/>
    </row>
    <row r="118" spans="1:87" ht="13.5">
      <c r="A118" s="271" t="s">
        <v>153</v>
      </c>
      <c r="B118" s="32"/>
      <c r="C118" s="26"/>
      <c r="D118" s="26"/>
      <c r="E118" s="246"/>
      <c r="F118" s="111"/>
      <c r="G118" s="23"/>
      <c r="H118" s="23"/>
      <c r="I118" s="23"/>
      <c r="J118" s="246"/>
      <c r="K118" s="32"/>
      <c r="L118" s="26"/>
      <c r="M118" s="26"/>
      <c r="N118" s="24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112"/>
    </row>
    <row r="119" spans="1:87" s="26" customFormat="1" ht="12.75" customHeight="1">
      <c r="A119" s="32" t="s">
        <v>154</v>
      </c>
      <c r="B119" s="234">
        <v>0</v>
      </c>
      <c r="C119" s="235">
        <v>1</v>
      </c>
      <c r="D119" s="235">
        <v>2</v>
      </c>
      <c r="E119" s="246"/>
      <c r="F119" s="238">
        <v>85000</v>
      </c>
      <c r="G119" s="23">
        <f aca="true" t="shared" si="220" ref="G119:G127">F119</f>
        <v>85000</v>
      </c>
      <c r="H119" s="23">
        <f>G119*(1+$C$5)</f>
        <v>87550</v>
      </c>
      <c r="I119" s="23">
        <f>H119*(1+$D$5)</f>
        <v>90176.5</v>
      </c>
      <c r="J119" s="246"/>
      <c r="K119" s="158">
        <f aca="true" t="shared" si="221" ref="K119:K127">SUM(AZ119:BK119)</f>
        <v>0</v>
      </c>
      <c r="L119" s="153">
        <f aca="true" t="shared" si="222" ref="L119:L127">SUM(BL119:BW119)</f>
        <v>87549.99999999999</v>
      </c>
      <c r="M119" s="153">
        <f aca="true" t="shared" si="223" ref="M119:M127">SUM(BX119:CI119)</f>
        <v>180352.99999999997</v>
      </c>
      <c r="N119" s="246"/>
      <c r="O119" s="26">
        <f>$B$119</f>
        <v>0</v>
      </c>
      <c r="P119" s="26">
        <f aca="true" t="shared" si="224" ref="P119:Z119">$B$119</f>
        <v>0</v>
      </c>
      <c r="Q119" s="26">
        <f t="shared" si="224"/>
        <v>0</v>
      </c>
      <c r="R119" s="26">
        <f t="shared" si="224"/>
        <v>0</v>
      </c>
      <c r="S119" s="26">
        <f t="shared" si="224"/>
        <v>0</v>
      </c>
      <c r="T119" s="26">
        <f t="shared" si="224"/>
        <v>0</v>
      </c>
      <c r="U119" s="26">
        <f t="shared" si="224"/>
        <v>0</v>
      </c>
      <c r="V119" s="26">
        <f t="shared" si="224"/>
        <v>0</v>
      </c>
      <c r="W119" s="26">
        <f t="shared" si="224"/>
        <v>0</v>
      </c>
      <c r="X119" s="26">
        <f t="shared" si="224"/>
        <v>0</v>
      </c>
      <c r="Y119" s="26">
        <f t="shared" si="224"/>
        <v>0</v>
      </c>
      <c r="Z119" s="26">
        <f t="shared" si="224"/>
        <v>0</v>
      </c>
      <c r="AA119" s="45">
        <f>$C$119</f>
        <v>1</v>
      </c>
      <c r="AB119" s="45">
        <f aca="true" t="shared" si="225" ref="AB119:AL119">$C$119</f>
        <v>1</v>
      </c>
      <c r="AC119" s="45">
        <f t="shared" si="225"/>
        <v>1</v>
      </c>
      <c r="AD119" s="45">
        <f t="shared" si="225"/>
        <v>1</v>
      </c>
      <c r="AE119" s="45">
        <f t="shared" si="225"/>
        <v>1</v>
      </c>
      <c r="AF119" s="45">
        <f t="shared" si="225"/>
        <v>1</v>
      </c>
      <c r="AG119" s="45">
        <f t="shared" si="225"/>
        <v>1</v>
      </c>
      <c r="AH119" s="45">
        <f t="shared" si="225"/>
        <v>1</v>
      </c>
      <c r="AI119" s="45">
        <f t="shared" si="225"/>
        <v>1</v>
      </c>
      <c r="AJ119" s="45">
        <f t="shared" si="225"/>
        <v>1</v>
      </c>
      <c r="AK119" s="45">
        <f t="shared" si="225"/>
        <v>1</v>
      </c>
      <c r="AL119" s="45">
        <f t="shared" si="225"/>
        <v>1</v>
      </c>
      <c r="AM119" s="45">
        <f>$D$119</f>
        <v>2</v>
      </c>
      <c r="AN119" s="45">
        <f aca="true" t="shared" si="226" ref="AN119:AX119">$D$119</f>
        <v>2</v>
      </c>
      <c r="AO119" s="45">
        <f t="shared" si="226"/>
        <v>2</v>
      </c>
      <c r="AP119" s="45">
        <f t="shared" si="226"/>
        <v>2</v>
      </c>
      <c r="AQ119" s="45">
        <f t="shared" si="226"/>
        <v>2</v>
      </c>
      <c r="AR119" s="45">
        <f t="shared" si="226"/>
        <v>2</v>
      </c>
      <c r="AS119" s="45">
        <f t="shared" si="226"/>
        <v>2</v>
      </c>
      <c r="AT119" s="45">
        <f t="shared" si="226"/>
        <v>2</v>
      </c>
      <c r="AU119" s="45">
        <f t="shared" si="226"/>
        <v>2</v>
      </c>
      <c r="AV119" s="45">
        <f t="shared" si="226"/>
        <v>2</v>
      </c>
      <c r="AW119" s="45">
        <f t="shared" si="226"/>
        <v>2</v>
      </c>
      <c r="AX119" s="45">
        <f t="shared" si="226"/>
        <v>2</v>
      </c>
      <c r="AZ119" s="23">
        <f>($G$119/12)*O119</f>
        <v>0</v>
      </c>
      <c r="BA119" s="23">
        <f aca="true" t="shared" si="227" ref="BA119:BK119">($G$119/12)*P119</f>
        <v>0</v>
      </c>
      <c r="BB119" s="23">
        <f t="shared" si="227"/>
        <v>0</v>
      </c>
      <c r="BC119" s="23">
        <f t="shared" si="227"/>
        <v>0</v>
      </c>
      <c r="BD119" s="23">
        <f t="shared" si="227"/>
        <v>0</v>
      </c>
      <c r="BE119" s="23">
        <f t="shared" si="227"/>
        <v>0</v>
      </c>
      <c r="BF119" s="23">
        <f t="shared" si="227"/>
        <v>0</v>
      </c>
      <c r="BG119" s="23">
        <f t="shared" si="227"/>
        <v>0</v>
      </c>
      <c r="BH119" s="23">
        <f t="shared" si="227"/>
        <v>0</v>
      </c>
      <c r="BI119" s="23">
        <f t="shared" si="227"/>
        <v>0</v>
      </c>
      <c r="BJ119" s="23">
        <f t="shared" si="227"/>
        <v>0</v>
      </c>
      <c r="BK119" s="23">
        <f t="shared" si="227"/>
        <v>0</v>
      </c>
      <c r="BL119" s="23">
        <f>($H$119/12)*AA119</f>
        <v>7295.833333333333</v>
      </c>
      <c r="BM119" s="23">
        <f aca="true" t="shared" si="228" ref="BM119:BW119">($H$119/12)*AB119</f>
        <v>7295.833333333333</v>
      </c>
      <c r="BN119" s="23">
        <f t="shared" si="228"/>
        <v>7295.833333333333</v>
      </c>
      <c r="BO119" s="23">
        <f t="shared" si="228"/>
        <v>7295.833333333333</v>
      </c>
      <c r="BP119" s="23">
        <f t="shared" si="228"/>
        <v>7295.833333333333</v>
      </c>
      <c r="BQ119" s="23">
        <f t="shared" si="228"/>
        <v>7295.833333333333</v>
      </c>
      <c r="BR119" s="23">
        <f t="shared" si="228"/>
        <v>7295.833333333333</v>
      </c>
      <c r="BS119" s="23">
        <f t="shared" si="228"/>
        <v>7295.833333333333</v>
      </c>
      <c r="BT119" s="23">
        <f t="shared" si="228"/>
        <v>7295.833333333333</v>
      </c>
      <c r="BU119" s="23">
        <f t="shared" si="228"/>
        <v>7295.833333333333</v>
      </c>
      <c r="BV119" s="23">
        <f t="shared" si="228"/>
        <v>7295.833333333333</v>
      </c>
      <c r="BW119" s="23">
        <f t="shared" si="228"/>
        <v>7295.833333333333</v>
      </c>
      <c r="BX119" s="23">
        <f>($I$119/12)*AM119</f>
        <v>15029.416666666666</v>
      </c>
      <c r="BY119" s="23">
        <f aca="true" t="shared" si="229" ref="BY119:CI119">($I$119/12)*AN119</f>
        <v>15029.416666666666</v>
      </c>
      <c r="BZ119" s="23">
        <f t="shared" si="229"/>
        <v>15029.416666666666</v>
      </c>
      <c r="CA119" s="23">
        <f t="shared" si="229"/>
        <v>15029.416666666666</v>
      </c>
      <c r="CB119" s="23">
        <f t="shared" si="229"/>
        <v>15029.416666666666</v>
      </c>
      <c r="CC119" s="23">
        <f t="shared" si="229"/>
        <v>15029.416666666666</v>
      </c>
      <c r="CD119" s="23">
        <f t="shared" si="229"/>
        <v>15029.416666666666</v>
      </c>
      <c r="CE119" s="23">
        <f t="shared" si="229"/>
        <v>15029.416666666666</v>
      </c>
      <c r="CF119" s="23">
        <f t="shared" si="229"/>
        <v>15029.416666666666</v>
      </c>
      <c r="CG119" s="23">
        <f t="shared" si="229"/>
        <v>15029.416666666666</v>
      </c>
      <c r="CH119" s="23">
        <f t="shared" si="229"/>
        <v>15029.416666666666</v>
      </c>
      <c r="CI119" s="112">
        <f t="shared" si="229"/>
        <v>15029.416666666666</v>
      </c>
    </row>
    <row r="120" spans="1:87" s="26" customFormat="1" ht="12.75" customHeight="1">
      <c r="A120" s="211" t="s">
        <v>155</v>
      </c>
      <c r="B120" s="234">
        <v>0</v>
      </c>
      <c r="C120" s="235">
        <v>4</v>
      </c>
      <c r="D120" s="235">
        <v>9</v>
      </c>
      <c r="E120" s="246"/>
      <c r="F120" s="212">
        <f>F61</f>
        <v>75000</v>
      </c>
      <c r="G120" s="23">
        <f t="shared" si="220"/>
        <v>75000</v>
      </c>
      <c r="H120" s="23">
        <f aca="true" t="shared" si="230" ref="H120:H127">G120*(1+$C$5)</f>
        <v>77250</v>
      </c>
      <c r="I120" s="23">
        <f aca="true" t="shared" si="231" ref="I120:I127">H120*(1+$D$5)</f>
        <v>79567.5</v>
      </c>
      <c r="J120" s="246"/>
      <c r="K120" s="158">
        <f t="shared" si="221"/>
        <v>0</v>
      </c>
      <c r="L120" s="153">
        <f t="shared" si="222"/>
        <v>309000</v>
      </c>
      <c r="M120" s="153">
        <f t="shared" si="223"/>
        <v>716107.5</v>
      </c>
      <c r="N120" s="246"/>
      <c r="O120" s="26">
        <f>$B$120</f>
        <v>0</v>
      </c>
      <c r="P120" s="26">
        <f aca="true" t="shared" si="232" ref="P120:Z120">$B$120</f>
        <v>0</v>
      </c>
      <c r="Q120" s="26">
        <f t="shared" si="232"/>
        <v>0</v>
      </c>
      <c r="R120" s="26">
        <f t="shared" si="232"/>
        <v>0</v>
      </c>
      <c r="S120" s="26">
        <f t="shared" si="232"/>
        <v>0</v>
      </c>
      <c r="T120" s="26">
        <f t="shared" si="232"/>
        <v>0</v>
      </c>
      <c r="U120" s="26">
        <f t="shared" si="232"/>
        <v>0</v>
      </c>
      <c r="V120" s="26">
        <f t="shared" si="232"/>
        <v>0</v>
      </c>
      <c r="W120" s="26">
        <f t="shared" si="232"/>
        <v>0</v>
      </c>
      <c r="X120" s="26">
        <f t="shared" si="232"/>
        <v>0</v>
      </c>
      <c r="Y120" s="26">
        <f t="shared" si="232"/>
        <v>0</v>
      </c>
      <c r="Z120" s="26">
        <f t="shared" si="232"/>
        <v>0</v>
      </c>
      <c r="AA120" s="45">
        <f>$C$120</f>
        <v>4</v>
      </c>
      <c r="AB120" s="45">
        <f aca="true" t="shared" si="233" ref="AB120:AL120">$C$120</f>
        <v>4</v>
      </c>
      <c r="AC120" s="45">
        <f t="shared" si="233"/>
        <v>4</v>
      </c>
      <c r="AD120" s="45">
        <f t="shared" si="233"/>
        <v>4</v>
      </c>
      <c r="AE120" s="45">
        <f t="shared" si="233"/>
        <v>4</v>
      </c>
      <c r="AF120" s="45">
        <f t="shared" si="233"/>
        <v>4</v>
      </c>
      <c r="AG120" s="45">
        <f t="shared" si="233"/>
        <v>4</v>
      </c>
      <c r="AH120" s="45">
        <f t="shared" si="233"/>
        <v>4</v>
      </c>
      <c r="AI120" s="45">
        <f t="shared" si="233"/>
        <v>4</v>
      </c>
      <c r="AJ120" s="45">
        <f t="shared" si="233"/>
        <v>4</v>
      </c>
      <c r="AK120" s="45">
        <f t="shared" si="233"/>
        <v>4</v>
      </c>
      <c r="AL120" s="45">
        <f t="shared" si="233"/>
        <v>4</v>
      </c>
      <c r="AM120" s="45">
        <f>$D$120</f>
        <v>9</v>
      </c>
      <c r="AN120" s="45">
        <f aca="true" t="shared" si="234" ref="AN120:AX120">$D$120</f>
        <v>9</v>
      </c>
      <c r="AO120" s="45">
        <f t="shared" si="234"/>
        <v>9</v>
      </c>
      <c r="AP120" s="45">
        <f t="shared" si="234"/>
        <v>9</v>
      </c>
      <c r="AQ120" s="45">
        <f t="shared" si="234"/>
        <v>9</v>
      </c>
      <c r="AR120" s="45">
        <f t="shared" si="234"/>
        <v>9</v>
      </c>
      <c r="AS120" s="45">
        <f t="shared" si="234"/>
        <v>9</v>
      </c>
      <c r="AT120" s="45">
        <f t="shared" si="234"/>
        <v>9</v>
      </c>
      <c r="AU120" s="45">
        <f t="shared" si="234"/>
        <v>9</v>
      </c>
      <c r="AV120" s="45">
        <f t="shared" si="234"/>
        <v>9</v>
      </c>
      <c r="AW120" s="45">
        <f t="shared" si="234"/>
        <v>9</v>
      </c>
      <c r="AX120" s="45">
        <f t="shared" si="234"/>
        <v>9</v>
      </c>
      <c r="AZ120" s="23">
        <f>($G$120/12)*O120</f>
        <v>0</v>
      </c>
      <c r="BA120" s="23">
        <f aca="true" t="shared" si="235" ref="BA120:BK120">($G$120/12)*P120</f>
        <v>0</v>
      </c>
      <c r="BB120" s="23">
        <f t="shared" si="235"/>
        <v>0</v>
      </c>
      <c r="BC120" s="23">
        <f t="shared" si="235"/>
        <v>0</v>
      </c>
      <c r="BD120" s="23">
        <f t="shared" si="235"/>
        <v>0</v>
      </c>
      <c r="BE120" s="23">
        <f t="shared" si="235"/>
        <v>0</v>
      </c>
      <c r="BF120" s="23">
        <f t="shared" si="235"/>
        <v>0</v>
      </c>
      <c r="BG120" s="23">
        <f t="shared" si="235"/>
        <v>0</v>
      </c>
      <c r="BH120" s="23">
        <f t="shared" si="235"/>
        <v>0</v>
      </c>
      <c r="BI120" s="23">
        <f t="shared" si="235"/>
        <v>0</v>
      </c>
      <c r="BJ120" s="23">
        <f t="shared" si="235"/>
        <v>0</v>
      </c>
      <c r="BK120" s="23">
        <f t="shared" si="235"/>
        <v>0</v>
      </c>
      <c r="BL120" s="23">
        <f>($H$120/12)*AA120</f>
        <v>25750</v>
      </c>
      <c r="BM120" s="23">
        <f aca="true" t="shared" si="236" ref="BM120:BW120">($H$120/12)*AB120</f>
        <v>25750</v>
      </c>
      <c r="BN120" s="23">
        <f t="shared" si="236"/>
        <v>25750</v>
      </c>
      <c r="BO120" s="23">
        <f t="shared" si="236"/>
        <v>25750</v>
      </c>
      <c r="BP120" s="23">
        <f t="shared" si="236"/>
        <v>25750</v>
      </c>
      <c r="BQ120" s="23">
        <f t="shared" si="236"/>
        <v>25750</v>
      </c>
      <c r="BR120" s="23">
        <f t="shared" si="236"/>
        <v>25750</v>
      </c>
      <c r="BS120" s="23">
        <f t="shared" si="236"/>
        <v>25750</v>
      </c>
      <c r="BT120" s="23">
        <f t="shared" si="236"/>
        <v>25750</v>
      </c>
      <c r="BU120" s="23">
        <f t="shared" si="236"/>
        <v>25750</v>
      </c>
      <c r="BV120" s="23">
        <f t="shared" si="236"/>
        <v>25750</v>
      </c>
      <c r="BW120" s="23">
        <f t="shared" si="236"/>
        <v>25750</v>
      </c>
      <c r="BX120" s="23">
        <f>($I$120/12)*AM120</f>
        <v>59675.625</v>
      </c>
      <c r="BY120" s="23">
        <f aca="true" t="shared" si="237" ref="BY120:CI120">($I$120/12)*AN120</f>
        <v>59675.625</v>
      </c>
      <c r="BZ120" s="23">
        <f t="shared" si="237"/>
        <v>59675.625</v>
      </c>
      <c r="CA120" s="23">
        <f t="shared" si="237"/>
        <v>59675.625</v>
      </c>
      <c r="CB120" s="23">
        <f t="shared" si="237"/>
        <v>59675.625</v>
      </c>
      <c r="CC120" s="23">
        <f t="shared" si="237"/>
        <v>59675.625</v>
      </c>
      <c r="CD120" s="23">
        <f t="shared" si="237"/>
        <v>59675.625</v>
      </c>
      <c r="CE120" s="23">
        <f t="shared" si="237"/>
        <v>59675.625</v>
      </c>
      <c r="CF120" s="23">
        <f t="shared" si="237"/>
        <v>59675.625</v>
      </c>
      <c r="CG120" s="23">
        <f t="shared" si="237"/>
        <v>59675.625</v>
      </c>
      <c r="CH120" s="23">
        <f t="shared" si="237"/>
        <v>59675.625</v>
      </c>
      <c r="CI120" s="112">
        <f t="shared" si="237"/>
        <v>59675.625</v>
      </c>
    </row>
    <row r="121" spans="1:87" s="26" customFormat="1" ht="12.75" customHeight="1">
      <c r="A121" s="211" t="s">
        <v>156</v>
      </c>
      <c r="B121" s="234">
        <v>0</v>
      </c>
      <c r="C121" s="235">
        <v>1</v>
      </c>
      <c r="D121" s="235">
        <v>2</v>
      </c>
      <c r="E121" s="246"/>
      <c r="F121" s="212">
        <f>F61</f>
        <v>75000</v>
      </c>
      <c r="G121" s="23">
        <f t="shared" si="220"/>
        <v>75000</v>
      </c>
      <c r="H121" s="23">
        <f t="shared" si="230"/>
        <v>77250</v>
      </c>
      <c r="I121" s="23">
        <f t="shared" si="231"/>
        <v>79567.5</v>
      </c>
      <c r="J121" s="246"/>
      <c r="K121" s="158">
        <f t="shared" si="221"/>
        <v>0</v>
      </c>
      <c r="L121" s="153">
        <f t="shared" si="222"/>
        <v>77250</v>
      </c>
      <c r="M121" s="153">
        <f t="shared" si="223"/>
        <v>159135</v>
      </c>
      <c r="N121" s="246"/>
      <c r="O121" s="26">
        <f>$B$121</f>
        <v>0</v>
      </c>
      <c r="P121" s="26">
        <f aca="true" t="shared" si="238" ref="P121:Z121">$B$121</f>
        <v>0</v>
      </c>
      <c r="Q121" s="26">
        <f t="shared" si="238"/>
        <v>0</v>
      </c>
      <c r="R121" s="26">
        <f t="shared" si="238"/>
        <v>0</v>
      </c>
      <c r="S121" s="26">
        <f t="shared" si="238"/>
        <v>0</v>
      </c>
      <c r="T121" s="26">
        <f t="shared" si="238"/>
        <v>0</v>
      </c>
      <c r="U121" s="26">
        <f t="shared" si="238"/>
        <v>0</v>
      </c>
      <c r="V121" s="26">
        <f t="shared" si="238"/>
        <v>0</v>
      </c>
      <c r="W121" s="26">
        <f t="shared" si="238"/>
        <v>0</v>
      </c>
      <c r="X121" s="26">
        <f t="shared" si="238"/>
        <v>0</v>
      </c>
      <c r="Y121" s="26">
        <f t="shared" si="238"/>
        <v>0</v>
      </c>
      <c r="Z121" s="26">
        <f t="shared" si="238"/>
        <v>0</v>
      </c>
      <c r="AA121" s="45">
        <f>$C$121</f>
        <v>1</v>
      </c>
      <c r="AB121" s="45">
        <f aca="true" t="shared" si="239" ref="AB121:AL121">$C$121</f>
        <v>1</v>
      </c>
      <c r="AC121" s="45">
        <f t="shared" si="239"/>
        <v>1</v>
      </c>
      <c r="AD121" s="45">
        <f t="shared" si="239"/>
        <v>1</v>
      </c>
      <c r="AE121" s="45">
        <f t="shared" si="239"/>
        <v>1</v>
      </c>
      <c r="AF121" s="45">
        <f t="shared" si="239"/>
        <v>1</v>
      </c>
      <c r="AG121" s="45">
        <f t="shared" si="239"/>
        <v>1</v>
      </c>
      <c r="AH121" s="45">
        <f t="shared" si="239"/>
        <v>1</v>
      </c>
      <c r="AI121" s="45">
        <f t="shared" si="239"/>
        <v>1</v>
      </c>
      <c r="AJ121" s="45">
        <f t="shared" si="239"/>
        <v>1</v>
      </c>
      <c r="AK121" s="45">
        <f t="shared" si="239"/>
        <v>1</v>
      </c>
      <c r="AL121" s="45">
        <f t="shared" si="239"/>
        <v>1</v>
      </c>
      <c r="AM121" s="45">
        <f>$D$121</f>
        <v>2</v>
      </c>
      <c r="AN121" s="45">
        <f aca="true" t="shared" si="240" ref="AN121:AX121">$D$121</f>
        <v>2</v>
      </c>
      <c r="AO121" s="45">
        <f t="shared" si="240"/>
        <v>2</v>
      </c>
      <c r="AP121" s="45">
        <f t="shared" si="240"/>
        <v>2</v>
      </c>
      <c r="AQ121" s="45">
        <f t="shared" si="240"/>
        <v>2</v>
      </c>
      <c r="AR121" s="45">
        <f t="shared" si="240"/>
        <v>2</v>
      </c>
      <c r="AS121" s="45">
        <f t="shared" si="240"/>
        <v>2</v>
      </c>
      <c r="AT121" s="45">
        <f t="shared" si="240"/>
        <v>2</v>
      </c>
      <c r="AU121" s="45">
        <f t="shared" si="240"/>
        <v>2</v>
      </c>
      <c r="AV121" s="45">
        <f t="shared" si="240"/>
        <v>2</v>
      </c>
      <c r="AW121" s="45">
        <f t="shared" si="240"/>
        <v>2</v>
      </c>
      <c r="AX121" s="45">
        <f t="shared" si="240"/>
        <v>2</v>
      </c>
      <c r="AZ121" s="23">
        <f>($G$121/12)*O121</f>
        <v>0</v>
      </c>
      <c r="BA121" s="23">
        <f aca="true" t="shared" si="241" ref="BA121:BK121">($G$121/12)*P121</f>
        <v>0</v>
      </c>
      <c r="BB121" s="23">
        <f t="shared" si="241"/>
        <v>0</v>
      </c>
      <c r="BC121" s="23">
        <f t="shared" si="241"/>
        <v>0</v>
      </c>
      <c r="BD121" s="23">
        <f t="shared" si="241"/>
        <v>0</v>
      </c>
      <c r="BE121" s="23">
        <f t="shared" si="241"/>
        <v>0</v>
      </c>
      <c r="BF121" s="23">
        <f t="shared" si="241"/>
        <v>0</v>
      </c>
      <c r="BG121" s="23">
        <f t="shared" si="241"/>
        <v>0</v>
      </c>
      <c r="BH121" s="23">
        <f t="shared" si="241"/>
        <v>0</v>
      </c>
      <c r="BI121" s="23">
        <f t="shared" si="241"/>
        <v>0</v>
      </c>
      <c r="BJ121" s="23">
        <f t="shared" si="241"/>
        <v>0</v>
      </c>
      <c r="BK121" s="23">
        <f t="shared" si="241"/>
        <v>0</v>
      </c>
      <c r="BL121" s="23">
        <f>($H$121/12)*AA121</f>
        <v>6437.5</v>
      </c>
      <c r="BM121" s="23">
        <f aca="true" t="shared" si="242" ref="BM121:BW121">($H$121/12)*AB121</f>
        <v>6437.5</v>
      </c>
      <c r="BN121" s="23">
        <f t="shared" si="242"/>
        <v>6437.5</v>
      </c>
      <c r="BO121" s="23">
        <f t="shared" si="242"/>
        <v>6437.5</v>
      </c>
      <c r="BP121" s="23">
        <f t="shared" si="242"/>
        <v>6437.5</v>
      </c>
      <c r="BQ121" s="23">
        <f t="shared" si="242"/>
        <v>6437.5</v>
      </c>
      <c r="BR121" s="23">
        <f t="shared" si="242"/>
        <v>6437.5</v>
      </c>
      <c r="BS121" s="23">
        <f t="shared" si="242"/>
        <v>6437.5</v>
      </c>
      <c r="BT121" s="23">
        <f t="shared" si="242"/>
        <v>6437.5</v>
      </c>
      <c r="BU121" s="23">
        <f t="shared" si="242"/>
        <v>6437.5</v>
      </c>
      <c r="BV121" s="23">
        <f t="shared" si="242"/>
        <v>6437.5</v>
      </c>
      <c r="BW121" s="23">
        <f t="shared" si="242"/>
        <v>6437.5</v>
      </c>
      <c r="BX121" s="23">
        <f>($I$121/12)*AM121</f>
        <v>13261.25</v>
      </c>
      <c r="BY121" s="23">
        <f aca="true" t="shared" si="243" ref="BY121:CI121">($I$121/12)*AN121</f>
        <v>13261.25</v>
      </c>
      <c r="BZ121" s="23">
        <f t="shared" si="243"/>
        <v>13261.25</v>
      </c>
      <c r="CA121" s="23">
        <f t="shared" si="243"/>
        <v>13261.25</v>
      </c>
      <c r="CB121" s="23">
        <f t="shared" si="243"/>
        <v>13261.25</v>
      </c>
      <c r="CC121" s="23">
        <f t="shared" si="243"/>
        <v>13261.25</v>
      </c>
      <c r="CD121" s="23">
        <f t="shared" si="243"/>
        <v>13261.25</v>
      </c>
      <c r="CE121" s="23">
        <f t="shared" si="243"/>
        <v>13261.25</v>
      </c>
      <c r="CF121" s="23">
        <f t="shared" si="243"/>
        <v>13261.25</v>
      </c>
      <c r="CG121" s="23">
        <f t="shared" si="243"/>
        <v>13261.25</v>
      </c>
      <c r="CH121" s="23">
        <f t="shared" si="243"/>
        <v>13261.25</v>
      </c>
      <c r="CI121" s="112">
        <f t="shared" si="243"/>
        <v>13261.25</v>
      </c>
    </row>
    <row r="122" spans="1:87" s="26" customFormat="1" ht="12.75" customHeight="1">
      <c r="A122" s="211" t="s">
        <v>157</v>
      </c>
      <c r="B122" s="234">
        <v>0</v>
      </c>
      <c r="C122" s="235">
        <v>2</v>
      </c>
      <c r="D122" s="235">
        <v>6</v>
      </c>
      <c r="E122" s="246"/>
      <c r="F122" s="238">
        <v>24000</v>
      </c>
      <c r="G122" s="23">
        <f t="shared" si="220"/>
        <v>24000</v>
      </c>
      <c r="H122" s="23">
        <f t="shared" si="230"/>
        <v>24720</v>
      </c>
      <c r="I122" s="23">
        <f t="shared" si="231"/>
        <v>25461.600000000002</v>
      </c>
      <c r="J122" s="246"/>
      <c r="K122" s="158">
        <f t="shared" si="221"/>
        <v>0</v>
      </c>
      <c r="L122" s="153">
        <f t="shared" si="222"/>
        <v>49440</v>
      </c>
      <c r="M122" s="153">
        <f t="shared" si="223"/>
        <v>152769.6</v>
      </c>
      <c r="N122" s="246"/>
      <c r="O122" s="26">
        <f>$B$122</f>
        <v>0</v>
      </c>
      <c r="P122" s="26">
        <f aca="true" t="shared" si="244" ref="P122:Z122">$B$122</f>
        <v>0</v>
      </c>
      <c r="Q122" s="26">
        <f t="shared" si="244"/>
        <v>0</v>
      </c>
      <c r="R122" s="26">
        <f t="shared" si="244"/>
        <v>0</v>
      </c>
      <c r="S122" s="26">
        <f t="shared" si="244"/>
        <v>0</v>
      </c>
      <c r="T122" s="26">
        <f t="shared" si="244"/>
        <v>0</v>
      </c>
      <c r="U122" s="26">
        <f t="shared" si="244"/>
        <v>0</v>
      </c>
      <c r="V122" s="26">
        <f t="shared" si="244"/>
        <v>0</v>
      </c>
      <c r="W122" s="26">
        <f t="shared" si="244"/>
        <v>0</v>
      </c>
      <c r="X122" s="26">
        <f t="shared" si="244"/>
        <v>0</v>
      </c>
      <c r="Y122" s="26">
        <f t="shared" si="244"/>
        <v>0</v>
      </c>
      <c r="Z122" s="26">
        <f t="shared" si="244"/>
        <v>0</v>
      </c>
      <c r="AA122" s="45">
        <f>$C$122</f>
        <v>2</v>
      </c>
      <c r="AB122" s="45">
        <f aca="true" t="shared" si="245" ref="AB122:AL122">$C$122</f>
        <v>2</v>
      </c>
      <c r="AC122" s="45">
        <f t="shared" si="245"/>
        <v>2</v>
      </c>
      <c r="AD122" s="45">
        <f t="shared" si="245"/>
        <v>2</v>
      </c>
      <c r="AE122" s="45">
        <f t="shared" si="245"/>
        <v>2</v>
      </c>
      <c r="AF122" s="45">
        <f t="shared" si="245"/>
        <v>2</v>
      </c>
      <c r="AG122" s="45">
        <f t="shared" si="245"/>
        <v>2</v>
      </c>
      <c r="AH122" s="45">
        <f t="shared" si="245"/>
        <v>2</v>
      </c>
      <c r="AI122" s="45">
        <f t="shared" si="245"/>
        <v>2</v>
      </c>
      <c r="AJ122" s="45">
        <f t="shared" si="245"/>
        <v>2</v>
      </c>
      <c r="AK122" s="45">
        <f t="shared" si="245"/>
        <v>2</v>
      </c>
      <c r="AL122" s="45">
        <f t="shared" si="245"/>
        <v>2</v>
      </c>
      <c r="AM122" s="45">
        <f>$D$122</f>
        <v>6</v>
      </c>
      <c r="AN122" s="45">
        <f aca="true" t="shared" si="246" ref="AN122:AX122">$D$122</f>
        <v>6</v>
      </c>
      <c r="AO122" s="45">
        <f t="shared" si="246"/>
        <v>6</v>
      </c>
      <c r="AP122" s="45">
        <f t="shared" si="246"/>
        <v>6</v>
      </c>
      <c r="AQ122" s="45">
        <f t="shared" si="246"/>
        <v>6</v>
      </c>
      <c r="AR122" s="45">
        <f t="shared" si="246"/>
        <v>6</v>
      </c>
      <c r="AS122" s="45">
        <f t="shared" si="246"/>
        <v>6</v>
      </c>
      <c r="AT122" s="45">
        <f t="shared" si="246"/>
        <v>6</v>
      </c>
      <c r="AU122" s="45">
        <f t="shared" si="246"/>
        <v>6</v>
      </c>
      <c r="AV122" s="45">
        <f t="shared" si="246"/>
        <v>6</v>
      </c>
      <c r="AW122" s="45">
        <f t="shared" si="246"/>
        <v>6</v>
      </c>
      <c r="AX122" s="45">
        <f t="shared" si="246"/>
        <v>6</v>
      </c>
      <c r="AZ122" s="23">
        <f>($G$122/12)*O122</f>
        <v>0</v>
      </c>
      <c r="BA122" s="23">
        <f aca="true" t="shared" si="247" ref="BA122:BK122">($G$122/12)*P122</f>
        <v>0</v>
      </c>
      <c r="BB122" s="23">
        <f t="shared" si="247"/>
        <v>0</v>
      </c>
      <c r="BC122" s="23">
        <f t="shared" si="247"/>
        <v>0</v>
      </c>
      <c r="BD122" s="23">
        <f t="shared" si="247"/>
        <v>0</v>
      </c>
      <c r="BE122" s="23">
        <f t="shared" si="247"/>
        <v>0</v>
      </c>
      <c r="BF122" s="23">
        <f t="shared" si="247"/>
        <v>0</v>
      </c>
      <c r="BG122" s="23">
        <f t="shared" si="247"/>
        <v>0</v>
      </c>
      <c r="BH122" s="23">
        <f t="shared" si="247"/>
        <v>0</v>
      </c>
      <c r="BI122" s="23">
        <f t="shared" si="247"/>
        <v>0</v>
      </c>
      <c r="BJ122" s="23">
        <f t="shared" si="247"/>
        <v>0</v>
      </c>
      <c r="BK122" s="23">
        <f t="shared" si="247"/>
        <v>0</v>
      </c>
      <c r="BL122" s="23">
        <f>($H$122/12)*AA122</f>
        <v>4120</v>
      </c>
      <c r="BM122" s="23">
        <f aca="true" t="shared" si="248" ref="BM122:BW122">($H$122/12)*AB122</f>
        <v>4120</v>
      </c>
      <c r="BN122" s="23">
        <f t="shared" si="248"/>
        <v>4120</v>
      </c>
      <c r="BO122" s="23">
        <f t="shared" si="248"/>
        <v>4120</v>
      </c>
      <c r="BP122" s="23">
        <f t="shared" si="248"/>
        <v>4120</v>
      </c>
      <c r="BQ122" s="23">
        <f t="shared" si="248"/>
        <v>4120</v>
      </c>
      <c r="BR122" s="23">
        <f t="shared" si="248"/>
        <v>4120</v>
      </c>
      <c r="BS122" s="23">
        <f t="shared" si="248"/>
        <v>4120</v>
      </c>
      <c r="BT122" s="23">
        <f t="shared" si="248"/>
        <v>4120</v>
      </c>
      <c r="BU122" s="23">
        <f t="shared" si="248"/>
        <v>4120</v>
      </c>
      <c r="BV122" s="23">
        <f t="shared" si="248"/>
        <v>4120</v>
      </c>
      <c r="BW122" s="23">
        <f t="shared" si="248"/>
        <v>4120</v>
      </c>
      <c r="BX122" s="23">
        <f>($I$122/12)*AM122</f>
        <v>12730.800000000001</v>
      </c>
      <c r="BY122" s="23">
        <f aca="true" t="shared" si="249" ref="BY122:CI122">($I$122/12)*AN122</f>
        <v>12730.800000000001</v>
      </c>
      <c r="BZ122" s="23">
        <f t="shared" si="249"/>
        <v>12730.800000000001</v>
      </c>
      <c r="CA122" s="23">
        <f t="shared" si="249"/>
        <v>12730.800000000001</v>
      </c>
      <c r="CB122" s="23">
        <f t="shared" si="249"/>
        <v>12730.800000000001</v>
      </c>
      <c r="CC122" s="23">
        <f t="shared" si="249"/>
        <v>12730.800000000001</v>
      </c>
      <c r="CD122" s="23">
        <f t="shared" si="249"/>
        <v>12730.800000000001</v>
      </c>
      <c r="CE122" s="23">
        <f t="shared" si="249"/>
        <v>12730.800000000001</v>
      </c>
      <c r="CF122" s="23">
        <f t="shared" si="249"/>
        <v>12730.800000000001</v>
      </c>
      <c r="CG122" s="23">
        <f t="shared" si="249"/>
        <v>12730.800000000001</v>
      </c>
      <c r="CH122" s="23">
        <f t="shared" si="249"/>
        <v>12730.800000000001</v>
      </c>
      <c r="CI122" s="112">
        <f t="shared" si="249"/>
        <v>12730.800000000001</v>
      </c>
    </row>
    <row r="123" spans="1:87" s="26" customFormat="1" ht="12.75" customHeight="1">
      <c r="A123" s="32" t="s">
        <v>141</v>
      </c>
      <c r="B123" s="234">
        <v>0</v>
      </c>
      <c r="C123" s="235">
        <v>1</v>
      </c>
      <c r="D123" s="235">
        <v>3</v>
      </c>
      <c r="E123" s="246"/>
      <c r="F123" s="212">
        <f>F83</f>
        <v>78000</v>
      </c>
      <c r="G123" s="23">
        <f t="shared" si="220"/>
        <v>78000</v>
      </c>
      <c r="H123" s="23">
        <f t="shared" si="230"/>
        <v>80340</v>
      </c>
      <c r="I123" s="23">
        <f t="shared" si="231"/>
        <v>82750.2</v>
      </c>
      <c r="J123" s="246"/>
      <c r="K123" s="158">
        <f t="shared" si="221"/>
        <v>0</v>
      </c>
      <c r="L123" s="153">
        <f t="shared" si="222"/>
        <v>80340</v>
      </c>
      <c r="M123" s="153">
        <f t="shared" si="223"/>
        <v>248250.59999999995</v>
      </c>
      <c r="N123" s="246"/>
      <c r="O123" s="26">
        <f>$B$123</f>
        <v>0</v>
      </c>
      <c r="P123" s="26">
        <f aca="true" t="shared" si="250" ref="P123:Z123">$B$123</f>
        <v>0</v>
      </c>
      <c r="Q123" s="26">
        <f t="shared" si="250"/>
        <v>0</v>
      </c>
      <c r="R123" s="26">
        <f t="shared" si="250"/>
        <v>0</v>
      </c>
      <c r="S123" s="26">
        <f t="shared" si="250"/>
        <v>0</v>
      </c>
      <c r="T123" s="26">
        <f t="shared" si="250"/>
        <v>0</v>
      </c>
      <c r="U123" s="26">
        <f t="shared" si="250"/>
        <v>0</v>
      </c>
      <c r="V123" s="26">
        <f t="shared" si="250"/>
        <v>0</v>
      </c>
      <c r="W123" s="26">
        <f t="shared" si="250"/>
        <v>0</v>
      </c>
      <c r="X123" s="26">
        <f t="shared" si="250"/>
        <v>0</v>
      </c>
      <c r="Y123" s="26">
        <f t="shared" si="250"/>
        <v>0</v>
      </c>
      <c r="Z123" s="26">
        <f t="shared" si="250"/>
        <v>0</v>
      </c>
      <c r="AA123" s="26">
        <f>$C$123</f>
        <v>1</v>
      </c>
      <c r="AB123" s="26">
        <f aca="true" t="shared" si="251" ref="AB123:AL123">$C$123</f>
        <v>1</v>
      </c>
      <c r="AC123" s="26">
        <f t="shared" si="251"/>
        <v>1</v>
      </c>
      <c r="AD123" s="26">
        <f t="shared" si="251"/>
        <v>1</v>
      </c>
      <c r="AE123" s="26">
        <f t="shared" si="251"/>
        <v>1</v>
      </c>
      <c r="AF123" s="26">
        <f t="shared" si="251"/>
        <v>1</v>
      </c>
      <c r="AG123" s="26">
        <f t="shared" si="251"/>
        <v>1</v>
      </c>
      <c r="AH123" s="26">
        <f t="shared" si="251"/>
        <v>1</v>
      </c>
      <c r="AI123" s="26">
        <f t="shared" si="251"/>
        <v>1</v>
      </c>
      <c r="AJ123" s="26">
        <f t="shared" si="251"/>
        <v>1</v>
      </c>
      <c r="AK123" s="26">
        <f t="shared" si="251"/>
        <v>1</v>
      </c>
      <c r="AL123" s="26">
        <f t="shared" si="251"/>
        <v>1</v>
      </c>
      <c r="AM123" s="26">
        <f>$D$123</f>
        <v>3</v>
      </c>
      <c r="AN123" s="26">
        <f aca="true" t="shared" si="252" ref="AN123:AX123">$D$123</f>
        <v>3</v>
      </c>
      <c r="AO123" s="26">
        <f t="shared" si="252"/>
        <v>3</v>
      </c>
      <c r="AP123" s="26">
        <f t="shared" si="252"/>
        <v>3</v>
      </c>
      <c r="AQ123" s="26">
        <f t="shared" si="252"/>
        <v>3</v>
      </c>
      <c r="AR123" s="26">
        <f t="shared" si="252"/>
        <v>3</v>
      </c>
      <c r="AS123" s="26">
        <f t="shared" si="252"/>
        <v>3</v>
      </c>
      <c r="AT123" s="26">
        <f t="shared" si="252"/>
        <v>3</v>
      </c>
      <c r="AU123" s="26">
        <f t="shared" si="252"/>
        <v>3</v>
      </c>
      <c r="AV123" s="26">
        <f t="shared" si="252"/>
        <v>3</v>
      </c>
      <c r="AW123" s="26">
        <f t="shared" si="252"/>
        <v>3</v>
      </c>
      <c r="AX123" s="26">
        <f t="shared" si="252"/>
        <v>3</v>
      </c>
      <c r="AZ123" s="23">
        <f>($G$123/12)*O123</f>
        <v>0</v>
      </c>
      <c r="BA123" s="23">
        <f aca="true" t="shared" si="253" ref="BA123:BK123">($G$123/12)*P123</f>
        <v>0</v>
      </c>
      <c r="BB123" s="23">
        <f t="shared" si="253"/>
        <v>0</v>
      </c>
      <c r="BC123" s="23">
        <f t="shared" si="253"/>
        <v>0</v>
      </c>
      <c r="BD123" s="23">
        <f t="shared" si="253"/>
        <v>0</v>
      </c>
      <c r="BE123" s="23">
        <f t="shared" si="253"/>
        <v>0</v>
      </c>
      <c r="BF123" s="23">
        <f t="shared" si="253"/>
        <v>0</v>
      </c>
      <c r="BG123" s="23">
        <f t="shared" si="253"/>
        <v>0</v>
      </c>
      <c r="BH123" s="23">
        <f t="shared" si="253"/>
        <v>0</v>
      </c>
      <c r="BI123" s="23">
        <f t="shared" si="253"/>
        <v>0</v>
      </c>
      <c r="BJ123" s="23">
        <f t="shared" si="253"/>
        <v>0</v>
      </c>
      <c r="BK123" s="23">
        <f t="shared" si="253"/>
        <v>0</v>
      </c>
      <c r="BL123" s="23">
        <f>($H$123/12)*AA123</f>
        <v>6695</v>
      </c>
      <c r="BM123" s="23">
        <f aca="true" t="shared" si="254" ref="BM123:BW123">($H$123/12)*AB123</f>
        <v>6695</v>
      </c>
      <c r="BN123" s="23">
        <f t="shared" si="254"/>
        <v>6695</v>
      </c>
      <c r="BO123" s="23">
        <f t="shared" si="254"/>
        <v>6695</v>
      </c>
      <c r="BP123" s="23">
        <f t="shared" si="254"/>
        <v>6695</v>
      </c>
      <c r="BQ123" s="23">
        <f t="shared" si="254"/>
        <v>6695</v>
      </c>
      <c r="BR123" s="23">
        <f t="shared" si="254"/>
        <v>6695</v>
      </c>
      <c r="BS123" s="23">
        <f t="shared" si="254"/>
        <v>6695</v>
      </c>
      <c r="BT123" s="23">
        <f t="shared" si="254"/>
        <v>6695</v>
      </c>
      <c r="BU123" s="23">
        <f t="shared" si="254"/>
        <v>6695</v>
      </c>
      <c r="BV123" s="23">
        <f t="shared" si="254"/>
        <v>6695</v>
      </c>
      <c r="BW123" s="23">
        <f t="shared" si="254"/>
        <v>6695</v>
      </c>
      <c r="BX123" s="23">
        <f>($I$123/12)*AM123</f>
        <v>20687.55</v>
      </c>
      <c r="BY123" s="23">
        <f aca="true" t="shared" si="255" ref="BY123:CI123">($I$123/12)*AN123</f>
        <v>20687.55</v>
      </c>
      <c r="BZ123" s="23">
        <f t="shared" si="255"/>
        <v>20687.55</v>
      </c>
      <c r="CA123" s="23">
        <f t="shared" si="255"/>
        <v>20687.55</v>
      </c>
      <c r="CB123" s="23">
        <f t="shared" si="255"/>
        <v>20687.55</v>
      </c>
      <c r="CC123" s="23">
        <f t="shared" si="255"/>
        <v>20687.55</v>
      </c>
      <c r="CD123" s="23">
        <f t="shared" si="255"/>
        <v>20687.55</v>
      </c>
      <c r="CE123" s="23">
        <f t="shared" si="255"/>
        <v>20687.55</v>
      </c>
      <c r="CF123" s="23">
        <f t="shared" si="255"/>
        <v>20687.55</v>
      </c>
      <c r="CG123" s="23">
        <f t="shared" si="255"/>
        <v>20687.55</v>
      </c>
      <c r="CH123" s="23">
        <f t="shared" si="255"/>
        <v>20687.55</v>
      </c>
      <c r="CI123" s="112">
        <f t="shared" si="255"/>
        <v>20687.55</v>
      </c>
    </row>
    <row r="124" spans="1:87" s="26" customFormat="1" ht="12.75" customHeight="1">
      <c r="A124" s="211" t="s">
        <v>139</v>
      </c>
      <c r="B124" s="234">
        <v>0</v>
      </c>
      <c r="C124" s="235">
        <v>0.3</v>
      </c>
      <c r="D124" s="235">
        <v>0.6</v>
      </c>
      <c r="E124" s="246"/>
      <c r="F124" s="212">
        <f>F82</f>
        <v>78000</v>
      </c>
      <c r="G124" s="23">
        <f t="shared" si="220"/>
        <v>78000</v>
      </c>
      <c r="H124" s="23">
        <f t="shared" si="230"/>
        <v>80340</v>
      </c>
      <c r="I124" s="23">
        <f t="shared" si="231"/>
        <v>82750.2</v>
      </c>
      <c r="J124" s="246"/>
      <c r="K124" s="158">
        <f t="shared" si="221"/>
        <v>0</v>
      </c>
      <c r="L124" s="153">
        <f t="shared" si="222"/>
        <v>24102</v>
      </c>
      <c r="M124" s="153">
        <f t="shared" si="223"/>
        <v>49650.12</v>
      </c>
      <c r="N124" s="246"/>
      <c r="O124" s="26">
        <f>$B$124</f>
        <v>0</v>
      </c>
      <c r="P124" s="26">
        <f aca="true" t="shared" si="256" ref="P124:Z124">$B$124</f>
        <v>0</v>
      </c>
      <c r="Q124" s="26">
        <f t="shared" si="256"/>
        <v>0</v>
      </c>
      <c r="R124" s="26">
        <f t="shared" si="256"/>
        <v>0</v>
      </c>
      <c r="S124" s="26">
        <f t="shared" si="256"/>
        <v>0</v>
      </c>
      <c r="T124" s="26">
        <f t="shared" si="256"/>
        <v>0</v>
      </c>
      <c r="U124" s="26">
        <f t="shared" si="256"/>
        <v>0</v>
      </c>
      <c r="V124" s="26">
        <f t="shared" si="256"/>
        <v>0</v>
      </c>
      <c r="W124" s="26">
        <f t="shared" si="256"/>
        <v>0</v>
      </c>
      <c r="X124" s="26">
        <f t="shared" si="256"/>
        <v>0</v>
      </c>
      <c r="Y124" s="26">
        <f t="shared" si="256"/>
        <v>0</v>
      </c>
      <c r="Z124" s="26">
        <f t="shared" si="256"/>
        <v>0</v>
      </c>
      <c r="AA124" s="45">
        <f>$C$124</f>
        <v>0.3</v>
      </c>
      <c r="AB124" s="45">
        <f aca="true" t="shared" si="257" ref="AB124:AL124">$C$124</f>
        <v>0.3</v>
      </c>
      <c r="AC124" s="45">
        <f t="shared" si="257"/>
        <v>0.3</v>
      </c>
      <c r="AD124" s="45">
        <f t="shared" si="257"/>
        <v>0.3</v>
      </c>
      <c r="AE124" s="45">
        <f t="shared" si="257"/>
        <v>0.3</v>
      </c>
      <c r="AF124" s="45">
        <f t="shared" si="257"/>
        <v>0.3</v>
      </c>
      <c r="AG124" s="45">
        <f t="shared" si="257"/>
        <v>0.3</v>
      </c>
      <c r="AH124" s="45">
        <f t="shared" si="257"/>
        <v>0.3</v>
      </c>
      <c r="AI124" s="45">
        <f t="shared" si="257"/>
        <v>0.3</v>
      </c>
      <c r="AJ124" s="45">
        <f t="shared" si="257"/>
        <v>0.3</v>
      </c>
      <c r="AK124" s="45">
        <f t="shared" si="257"/>
        <v>0.3</v>
      </c>
      <c r="AL124" s="45">
        <f t="shared" si="257"/>
        <v>0.3</v>
      </c>
      <c r="AM124" s="45">
        <f>$D$124</f>
        <v>0.6</v>
      </c>
      <c r="AN124" s="45">
        <f aca="true" t="shared" si="258" ref="AN124:AX124">$D$124</f>
        <v>0.6</v>
      </c>
      <c r="AO124" s="45">
        <f t="shared" si="258"/>
        <v>0.6</v>
      </c>
      <c r="AP124" s="45">
        <f t="shared" si="258"/>
        <v>0.6</v>
      </c>
      <c r="AQ124" s="45">
        <f t="shared" si="258"/>
        <v>0.6</v>
      </c>
      <c r="AR124" s="45">
        <f t="shared" si="258"/>
        <v>0.6</v>
      </c>
      <c r="AS124" s="45">
        <f t="shared" si="258"/>
        <v>0.6</v>
      </c>
      <c r="AT124" s="45">
        <f t="shared" si="258"/>
        <v>0.6</v>
      </c>
      <c r="AU124" s="45">
        <f t="shared" si="258"/>
        <v>0.6</v>
      </c>
      <c r="AV124" s="45">
        <f t="shared" si="258"/>
        <v>0.6</v>
      </c>
      <c r="AW124" s="45">
        <f t="shared" si="258"/>
        <v>0.6</v>
      </c>
      <c r="AX124" s="45">
        <f t="shared" si="258"/>
        <v>0.6</v>
      </c>
      <c r="AZ124" s="23">
        <f>($G$124/12)*O124</f>
        <v>0</v>
      </c>
      <c r="BA124" s="23">
        <f aca="true" t="shared" si="259" ref="BA124:BK124">($G$124/12)*P124</f>
        <v>0</v>
      </c>
      <c r="BB124" s="23">
        <f t="shared" si="259"/>
        <v>0</v>
      </c>
      <c r="BC124" s="23">
        <f t="shared" si="259"/>
        <v>0</v>
      </c>
      <c r="BD124" s="23">
        <f t="shared" si="259"/>
        <v>0</v>
      </c>
      <c r="BE124" s="23">
        <f t="shared" si="259"/>
        <v>0</v>
      </c>
      <c r="BF124" s="23">
        <f t="shared" si="259"/>
        <v>0</v>
      </c>
      <c r="BG124" s="23">
        <f t="shared" si="259"/>
        <v>0</v>
      </c>
      <c r="BH124" s="23">
        <f t="shared" si="259"/>
        <v>0</v>
      </c>
      <c r="BI124" s="23">
        <f t="shared" si="259"/>
        <v>0</v>
      </c>
      <c r="BJ124" s="23">
        <f t="shared" si="259"/>
        <v>0</v>
      </c>
      <c r="BK124" s="23">
        <f t="shared" si="259"/>
        <v>0</v>
      </c>
      <c r="BL124" s="23">
        <f>($H$124/12)*AA124</f>
        <v>2008.5</v>
      </c>
      <c r="BM124" s="23">
        <f aca="true" t="shared" si="260" ref="BM124:BW124">($H$124/12)*AB124</f>
        <v>2008.5</v>
      </c>
      <c r="BN124" s="23">
        <f t="shared" si="260"/>
        <v>2008.5</v>
      </c>
      <c r="BO124" s="23">
        <f t="shared" si="260"/>
        <v>2008.5</v>
      </c>
      <c r="BP124" s="23">
        <f t="shared" si="260"/>
        <v>2008.5</v>
      </c>
      <c r="BQ124" s="23">
        <f t="shared" si="260"/>
        <v>2008.5</v>
      </c>
      <c r="BR124" s="23">
        <f t="shared" si="260"/>
        <v>2008.5</v>
      </c>
      <c r="BS124" s="23">
        <f t="shared" si="260"/>
        <v>2008.5</v>
      </c>
      <c r="BT124" s="23">
        <f t="shared" si="260"/>
        <v>2008.5</v>
      </c>
      <c r="BU124" s="23">
        <f t="shared" si="260"/>
        <v>2008.5</v>
      </c>
      <c r="BV124" s="23">
        <f t="shared" si="260"/>
        <v>2008.5</v>
      </c>
      <c r="BW124" s="23">
        <f t="shared" si="260"/>
        <v>2008.5</v>
      </c>
      <c r="BX124" s="23">
        <f>($I$124/12)*AM124</f>
        <v>4137.509999999999</v>
      </c>
      <c r="BY124" s="23">
        <f aca="true" t="shared" si="261" ref="BY124:CI124">($I$124/12)*AN124</f>
        <v>4137.509999999999</v>
      </c>
      <c r="BZ124" s="23">
        <f t="shared" si="261"/>
        <v>4137.509999999999</v>
      </c>
      <c r="CA124" s="23">
        <f t="shared" si="261"/>
        <v>4137.509999999999</v>
      </c>
      <c r="CB124" s="23">
        <f t="shared" si="261"/>
        <v>4137.509999999999</v>
      </c>
      <c r="CC124" s="23">
        <f t="shared" si="261"/>
        <v>4137.509999999999</v>
      </c>
      <c r="CD124" s="23">
        <f t="shared" si="261"/>
        <v>4137.509999999999</v>
      </c>
      <c r="CE124" s="23">
        <f t="shared" si="261"/>
        <v>4137.509999999999</v>
      </c>
      <c r="CF124" s="23">
        <f t="shared" si="261"/>
        <v>4137.509999999999</v>
      </c>
      <c r="CG124" s="23">
        <f t="shared" si="261"/>
        <v>4137.509999999999</v>
      </c>
      <c r="CH124" s="23">
        <f t="shared" si="261"/>
        <v>4137.509999999999</v>
      </c>
      <c r="CI124" s="112">
        <f t="shared" si="261"/>
        <v>4137.509999999999</v>
      </c>
    </row>
    <row r="125" spans="1:87" s="26" customFormat="1" ht="12.75" customHeight="1">
      <c r="A125" s="211" t="s">
        <v>140</v>
      </c>
      <c r="B125" s="234">
        <v>0</v>
      </c>
      <c r="C125" s="235">
        <v>0.3</v>
      </c>
      <c r="D125" s="235">
        <v>0.6</v>
      </c>
      <c r="E125" s="246"/>
      <c r="F125" s="238">
        <v>78000</v>
      </c>
      <c r="G125" s="23">
        <f t="shared" si="220"/>
        <v>78000</v>
      </c>
      <c r="H125" s="23">
        <f t="shared" si="230"/>
        <v>80340</v>
      </c>
      <c r="I125" s="23">
        <f t="shared" si="231"/>
        <v>82750.2</v>
      </c>
      <c r="J125" s="246"/>
      <c r="K125" s="158">
        <f t="shared" si="221"/>
        <v>0</v>
      </c>
      <c r="L125" s="153">
        <f t="shared" si="222"/>
        <v>24102</v>
      </c>
      <c r="M125" s="153">
        <f t="shared" si="223"/>
        <v>49650.12</v>
      </c>
      <c r="N125" s="246"/>
      <c r="O125" s="26">
        <f>$B$125</f>
        <v>0</v>
      </c>
      <c r="P125" s="26">
        <f aca="true" t="shared" si="262" ref="P125:Z125">$B$125</f>
        <v>0</v>
      </c>
      <c r="Q125" s="26">
        <f t="shared" si="262"/>
        <v>0</v>
      </c>
      <c r="R125" s="26">
        <f t="shared" si="262"/>
        <v>0</v>
      </c>
      <c r="S125" s="26">
        <f t="shared" si="262"/>
        <v>0</v>
      </c>
      <c r="T125" s="26">
        <f t="shared" si="262"/>
        <v>0</v>
      </c>
      <c r="U125" s="26">
        <f t="shared" si="262"/>
        <v>0</v>
      </c>
      <c r="V125" s="26">
        <f t="shared" si="262"/>
        <v>0</v>
      </c>
      <c r="W125" s="26">
        <f t="shared" si="262"/>
        <v>0</v>
      </c>
      <c r="X125" s="26">
        <f t="shared" si="262"/>
        <v>0</v>
      </c>
      <c r="Y125" s="26">
        <f t="shared" si="262"/>
        <v>0</v>
      </c>
      <c r="Z125" s="26">
        <f t="shared" si="262"/>
        <v>0</v>
      </c>
      <c r="AA125" s="45">
        <f>$C$125</f>
        <v>0.3</v>
      </c>
      <c r="AB125" s="45">
        <f aca="true" t="shared" si="263" ref="AB125:AL125">$C$125</f>
        <v>0.3</v>
      </c>
      <c r="AC125" s="45">
        <f t="shared" si="263"/>
        <v>0.3</v>
      </c>
      <c r="AD125" s="45">
        <f t="shared" si="263"/>
        <v>0.3</v>
      </c>
      <c r="AE125" s="45">
        <f t="shared" si="263"/>
        <v>0.3</v>
      </c>
      <c r="AF125" s="45">
        <f t="shared" si="263"/>
        <v>0.3</v>
      </c>
      <c r="AG125" s="45">
        <f t="shared" si="263"/>
        <v>0.3</v>
      </c>
      <c r="AH125" s="45">
        <f t="shared" si="263"/>
        <v>0.3</v>
      </c>
      <c r="AI125" s="45">
        <f t="shared" si="263"/>
        <v>0.3</v>
      </c>
      <c r="AJ125" s="45">
        <f t="shared" si="263"/>
        <v>0.3</v>
      </c>
      <c r="AK125" s="45">
        <f t="shared" si="263"/>
        <v>0.3</v>
      </c>
      <c r="AL125" s="45">
        <f t="shared" si="263"/>
        <v>0.3</v>
      </c>
      <c r="AM125" s="45">
        <f>$D$125</f>
        <v>0.6</v>
      </c>
      <c r="AN125" s="45">
        <f aca="true" t="shared" si="264" ref="AN125:AX125">$D$125</f>
        <v>0.6</v>
      </c>
      <c r="AO125" s="45">
        <f t="shared" si="264"/>
        <v>0.6</v>
      </c>
      <c r="AP125" s="45">
        <f t="shared" si="264"/>
        <v>0.6</v>
      </c>
      <c r="AQ125" s="45">
        <f t="shared" si="264"/>
        <v>0.6</v>
      </c>
      <c r="AR125" s="45">
        <f t="shared" si="264"/>
        <v>0.6</v>
      </c>
      <c r="AS125" s="45">
        <f t="shared" si="264"/>
        <v>0.6</v>
      </c>
      <c r="AT125" s="45">
        <f t="shared" si="264"/>
        <v>0.6</v>
      </c>
      <c r="AU125" s="45">
        <f t="shared" si="264"/>
        <v>0.6</v>
      </c>
      <c r="AV125" s="45">
        <f t="shared" si="264"/>
        <v>0.6</v>
      </c>
      <c r="AW125" s="45">
        <f t="shared" si="264"/>
        <v>0.6</v>
      </c>
      <c r="AX125" s="45">
        <f t="shared" si="264"/>
        <v>0.6</v>
      </c>
      <c r="AZ125" s="23">
        <f>($G$125/12)*O125</f>
        <v>0</v>
      </c>
      <c r="BA125" s="23">
        <f aca="true" t="shared" si="265" ref="BA125:BK125">($G$125/12)*P125</f>
        <v>0</v>
      </c>
      <c r="BB125" s="23">
        <f t="shared" si="265"/>
        <v>0</v>
      </c>
      <c r="BC125" s="23">
        <f t="shared" si="265"/>
        <v>0</v>
      </c>
      <c r="BD125" s="23">
        <f t="shared" si="265"/>
        <v>0</v>
      </c>
      <c r="BE125" s="23">
        <f t="shared" si="265"/>
        <v>0</v>
      </c>
      <c r="BF125" s="23">
        <f t="shared" si="265"/>
        <v>0</v>
      </c>
      <c r="BG125" s="23">
        <f t="shared" si="265"/>
        <v>0</v>
      </c>
      <c r="BH125" s="23">
        <f t="shared" si="265"/>
        <v>0</v>
      </c>
      <c r="BI125" s="23">
        <f t="shared" si="265"/>
        <v>0</v>
      </c>
      <c r="BJ125" s="23">
        <f t="shared" si="265"/>
        <v>0</v>
      </c>
      <c r="BK125" s="23">
        <f t="shared" si="265"/>
        <v>0</v>
      </c>
      <c r="BL125" s="23">
        <f>($H$125/12)*AA125</f>
        <v>2008.5</v>
      </c>
      <c r="BM125" s="23">
        <f aca="true" t="shared" si="266" ref="BM125:BW125">($H$125/12)*AB125</f>
        <v>2008.5</v>
      </c>
      <c r="BN125" s="23">
        <f t="shared" si="266"/>
        <v>2008.5</v>
      </c>
      <c r="BO125" s="23">
        <f t="shared" si="266"/>
        <v>2008.5</v>
      </c>
      <c r="BP125" s="23">
        <f t="shared" si="266"/>
        <v>2008.5</v>
      </c>
      <c r="BQ125" s="23">
        <f t="shared" si="266"/>
        <v>2008.5</v>
      </c>
      <c r="BR125" s="23">
        <f t="shared" si="266"/>
        <v>2008.5</v>
      </c>
      <c r="BS125" s="23">
        <f t="shared" si="266"/>
        <v>2008.5</v>
      </c>
      <c r="BT125" s="23">
        <f t="shared" si="266"/>
        <v>2008.5</v>
      </c>
      <c r="BU125" s="23">
        <f t="shared" si="266"/>
        <v>2008.5</v>
      </c>
      <c r="BV125" s="23">
        <f t="shared" si="266"/>
        <v>2008.5</v>
      </c>
      <c r="BW125" s="23">
        <f t="shared" si="266"/>
        <v>2008.5</v>
      </c>
      <c r="BX125" s="23">
        <f>($I$125/12)*AM125</f>
        <v>4137.509999999999</v>
      </c>
      <c r="BY125" s="23">
        <f aca="true" t="shared" si="267" ref="BY125:CI125">($I$125/12)*AN125</f>
        <v>4137.509999999999</v>
      </c>
      <c r="BZ125" s="23">
        <f t="shared" si="267"/>
        <v>4137.509999999999</v>
      </c>
      <c r="CA125" s="23">
        <f t="shared" si="267"/>
        <v>4137.509999999999</v>
      </c>
      <c r="CB125" s="23">
        <f t="shared" si="267"/>
        <v>4137.509999999999</v>
      </c>
      <c r="CC125" s="23">
        <f t="shared" si="267"/>
        <v>4137.509999999999</v>
      </c>
      <c r="CD125" s="23">
        <f t="shared" si="267"/>
        <v>4137.509999999999</v>
      </c>
      <c r="CE125" s="23">
        <f t="shared" si="267"/>
        <v>4137.509999999999</v>
      </c>
      <c r="CF125" s="23">
        <f t="shared" si="267"/>
        <v>4137.509999999999</v>
      </c>
      <c r="CG125" s="23">
        <f t="shared" si="267"/>
        <v>4137.509999999999</v>
      </c>
      <c r="CH125" s="23">
        <f t="shared" si="267"/>
        <v>4137.509999999999</v>
      </c>
      <c r="CI125" s="112">
        <f t="shared" si="267"/>
        <v>4137.509999999999</v>
      </c>
    </row>
    <row r="126" spans="1:87" s="26" customFormat="1" ht="12.75" customHeight="1">
      <c r="A126" s="211" t="s">
        <v>158</v>
      </c>
      <c r="B126" s="234">
        <v>0</v>
      </c>
      <c r="C126" s="235">
        <v>0.3</v>
      </c>
      <c r="D126" s="235">
        <v>0.6</v>
      </c>
      <c r="E126" s="246"/>
      <c r="F126" s="238">
        <v>60000</v>
      </c>
      <c r="G126" s="23">
        <f t="shared" si="220"/>
        <v>60000</v>
      </c>
      <c r="H126" s="23">
        <f t="shared" si="230"/>
        <v>61800</v>
      </c>
      <c r="I126" s="23">
        <f t="shared" si="231"/>
        <v>63654</v>
      </c>
      <c r="J126" s="246"/>
      <c r="K126" s="158">
        <f t="shared" si="221"/>
        <v>0</v>
      </c>
      <c r="L126" s="153">
        <f t="shared" si="222"/>
        <v>18540</v>
      </c>
      <c r="M126" s="153">
        <f t="shared" si="223"/>
        <v>38192.4</v>
      </c>
      <c r="N126" s="246"/>
      <c r="O126" s="26">
        <f>$B$126</f>
        <v>0</v>
      </c>
      <c r="P126" s="26">
        <f aca="true" t="shared" si="268" ref="P126:Z126">$B$126</f>
        <v>0</v>
      </c>
      <c r="Q126" s="26">
        <f t="shared" si="268"/>
        <v>0</v>
      </c>
      <c r="R126" s="26">
        <f t="shared" si="268"/>
        <v>0</v>
      </c>
      <c r="S126" s="26">
        <f t="shared" si="268"/>
        <v>0</v>
      </c>
      <c r="T126" s="26">
        <f t="shared" si="268"/>
        <v>0</v>
      </c>
      <c r="U126" s="26">
        <f t="shared" si="268"/>
        <v>0</v>
      </c>
      <c r="V126" s="26">
        <f t="shared" si="268"/>
        <v>0</v>
      </c>
      <c r="W126" s="26">
        <f t="shared" si="268"/>
        <v>0</v>
      </c>
      <c r="X126" s="26">
        <f t="shared" si="268"/>
        <v>0</v>
      </c>
      <c r="Y126" s="26">
        <f t="shared" si="268"/>
        <v>0</v>
      </c>
      <c r="Z126" s="26">
        <f t="shared" si="268"/>
        <v>0</v>
      </c>
      <c r="AA126" s="45">
        <f>$C$126</f>
        <v>0.3</v>
      </c>
      <c r="AB126" s="45">
        <f aca="true" t="shared" si="269" ref="AB126:AL126">$C$126</f>
        <v>0.3</v>
      </c>
      <c r="AC126" s="45">
        <f t="shared" si="269"/>
        <v>0.3</v>
      </c>
      <c r="AD126" s="45">
        <f t="shared" si="269"/>
        <v>0.3</v>
      </c>
      <c r="AE126" s="45">
        <f t="shared" si="269"/>
        <v>0.3</v>
      </c>
      <c r="AF126" s="45">
        <f t="shared" si="269"/>
        <v>0.3</v>
      </c>
      <c r="AG126" s="45">
        <f t="shared" si="269"/>
        <v>0.3</v>
      </c>
      <c r="AH126" s="45">
        <f t="shared" si="269"/>
        <v>0.3</v>
      </c>
      <c r="AI126" s="45">
        <f t="shared" si="269"/>
        <v>0.3</v>
      </c>
      <c r="AJ126" s="45">
        <f t="shared" si="269"/>
        <v>0.3</v>
      </c>
      <c r="AK126" s="45">
        <f t="shared" si="269"/>
        <v>0.3</v>
      </c>
      <c r="AL126" s="45">
        <f t="shared" si="269"/>
        <v>0.3</v>
      </c>
      <c r="AM126" s="45">
        <f>$D$126</f>
        <v>0.6</v>
      </c>
      <c r="AN126" s="45">
        <f aca="true" t="shared" si="270" ref="AN126:AX126">$D$126</f>
        <v>0.6</v>
      </c>
      <c r="AO126" s="45">
        <f t="shared" si="270"/>
        <v>0.6</v>
      </c>
      <c r="AP126" s="45">
        <f t="shared" si="270"/>
        <v>0.6</v>
      </c>
      <c r="AQ126" s="45">
        <f t="shared" si="270"/>
        <v>0.6</v>
      </c>
      <c r="AR126" s="45">
        <f t="shared" si="270"/>
        <v>0.6</v>
      </c>
      <c r="AS126" s="45">
        <f t="shared" si="270"/>
        <v>0.6</v>
      </c>
      <c r="AT126" s="45">
        <f t="shared" si="270"/>
        <v>0.6</v>
      </c>
      <c r="AU126" s="45">
        <f t="shared" si="270"/>
        <v>0.6</v>
      </c>
      <c r="AV126" s="45">
        <f t="shared" si="270"/>
        <v>0.6</v>
      </c>
      <c r="AW126" s="45">
        <f t="shared" si="270"/>
        <v>0.6</v>
      </c>
      <c r="AX126" s="45">
        <f t="shared" si="270"/>
        <v>0.6</v>
      </c>
      <c r="AZ126" s="23">
        <f>($G$126/12)*O126</f>
        <v>0</v>
      </c>
      <c r="BA126" s="23">
        <f aca="true" t="shared" si="271" ref="BA126:BK126">($G$126/12)*P126</f>
        <v>0</v>
      </c>
      <c r="BB126" s="23">
        <f t="shared" si="271"/>
        <v>0</v>
      </c>
      <c r="BC126" s="23">
        <f t="shared" si="271"/>
        <v>0</v>
      </c>
      <c r="BD126" s="23">
        <f t="shared" si="271"/>
        <v>0</v>
      </c>
      <c r="BE126" s="23">
        <f t="shared" si="271"/>
        <v>0</v>
      </c>
      <c r="BF126" s="23">
        <f t="shared" si="271"/>
        <v>0</v>
      </c>
      <c r="BG126" s="23">
        <f t="shared" si="271"/>
        <v>0</v>
      </c>
      <c r="BH126" s="23">
        <f t="shared" si="271"/>
        <v>0</v>
      </c>
      <c r="BI126" s="23">
        <f t="shared" si="271"/>
        <v>0</v>
      </c>
      <c r="BJ126" s="23">
        <f t="shared" si="271"/>
        <v>0</v>
      </c>
      <c r="BK126" s="23">
        <f t="shared" si="271"/>
        <v>0</v>
      </c>
      <c r="BL126" s="23">
        <f>($H$126/12)*AA126</f>
        <v>1545</v>
      </c>
      <c r="BM126" s="23">
        <f aca="true" t="shared" si="272" ref="BM126:BW126">($H$126/12)*AB126</f>
        <v>1545</v>
      </c>
      <c r="BN126" s="23">
        <f t="shared" si="272"/>
        <v>1545</v>
      </c>
      <c r="BO126" s="23">
        <f t="shared" si="272"/>
        <v>1545</v>
      </c>
      <c r="BP126" s="23">
        <f t="shared" si="272"/>
        <v>1545</v>
      </c>
      <c r="BQ126" s="23">
        <f t="shared" si="272"/>
        <v>1545</v>
      </c>
      <c r="BR126" s="23">
        <f t="shared" si="272"/>
        <v>1545</v>
      </c>
      <c r="BS126" s="23">
        <f t="shared" si="272"/>
        <v>1545</v>
      </c>
      <c r="BT126" s="23">
        <f t="shared" si="272"/>
        <v>1545</v>
      </c>
      <c r="BU126" s="23">
        <f t="shared" si="272"/>
        <v>1545</v>
      </c>
      <c r="BV126" s="23">
        <f t="shared" si="272"/>
        <v>1545</v>
      </c>
      <c r="BW126" s="23">
        <f t="shared" si="272"/>
        <v>1545</v>
      </c>
      <c r="BX126" s="23">
        <f>($I$126/12)*AM126</f>
        <v>3182.7</v>
      </c>
      <c r="BY126" s="23">
        <f aca="true" t="shared" si="273" ref="BY126:CI126">($I$126/12)*AN126</f>
        <v>3182.7</v>
      </c>
      <c r="BZ126" s="23">
        <f t="shared" si="273"/>
        <v>3182.7</v>
      </c>
      <c r="CA126" s="23">
        <f t="shared" si="273"/>
        <v>3182.7</v>
      </c>
      <c r="CB126" s="23">
        <f t="shared" si="273"/>
        <v>3182.7</v>
      </c>
      <c r="CC126" s="23">
        <f t="shared" si="273"/>
        <v>3182.7</v>
      </c>
      <c r="CD126" s="23">
        <f t="shared" si="273"/>
        <v>3182.7</v>
      </c>
      <c r="CE126" s="23">
        <f t="shared" si="273"/>
        <v>3182.7</v>
      </c>
      <c r="CF126" s="23">
        <f t="shared" si="273"/>
        <v>3182.7</v>
      </c>
      <c r="CG126" s="23">
        <f t="shared" si="273"/>
        <v>3182.7</v>
      </c>
      <c r="CH126" s="23">
        <f t="shared" si="273"/>
        <v>3182.7</v>
      </c>
      <c r="CI126" s="112">
        <f t="shared" si="273"/>
        <v>3182.7</v>
      </c>
    </row>
    <row r="127" spans="1:87" s="26" customFormat="1" ht="12.75" customHeight="1">
      <c r="A127" s="211" t="s">
        <v>136</v>
      </c>
      <c r="B127" s="234">
        <v>0</v>
      </c>
      <c r="C127" s="235">
        <v>1</v>
      </c>
      <c r="D127" s="235">
        <v>2</v>
      </c>
      <c r="E127" s="246"/>
      <c r="F127" s="238">
        <v>35000</v>
      </c>
      <c r="G127" s="23">
        <f t="shared" si="220"/>
        <v>35000</v>
      </c>
      <c r="H127" s="23">
        <f t="shared" si="230"/>
        <v>36050</v>
      </c>
      <c r="I127" s="23">
        <f t="shared" si="231"/>
        <v>37131.5</v>
      </c>
      <c r="J127" s="246"/>
      <c r="K127" s="158">
        <f t="shared" si="221"/>
        <v>0</v>
      </c>
      <c r="L127" s="153">
        <f t="shared" si="222"/>
        <v>36050</v>
      </c>
      <c r="M127" s="153">
        <f t="shared" si="223"/>
        <v>74263</v>
      </c>
      <c r="N127" s="246"/>
      <c r="O127" s="26">
        <f>$B$127</f>
        <v>0</v>
      </c>
      <c r="P127" s="26">
        <f aca="true" t="shared" si="274" ref="P127:Z127">$B$127</f>
        <v>0</v>
      </c>
      <c r="Q127" s="26">
        <f t="shared" si="274"/>
        <v>0</v>
      </c>
      <c r="R127" s="26">
        <f t="shared" si="274"/>
        <v>0</v>
      </c>
      <c r="S127" s="26">
        <f t="shared" si="274"/>
        <v>0</v>
      </c>
      <c r="T127" s="26">
        <f t="shared" si="274"/>
        <v>0</v>
      </c>
      <c r="U127" s="26">
        <f t="shared" si="274"/>
        <v>0</v>
      </c>
      <c r="V127" s="26">
        <f t="shared" si="274"/>
        <v>0</v>
      </c>
      <c r="W127" s="26">
        <f t="shared" si="274"/>
        <v>0</v>
      </c>
      <c r="X127" s="26">
        <f t="shared" si="274"/>
        <v>0</v>
      </c>
      <c r="Y127" s="26">
        <f t="shared" si="274"/>
        <v>0</v>
      </c>
      <c r="Z127" s="26">
        <f t="shared" si="274"/>
        <v>0</v>
      </c>
      <c r="AA127" s="45">
        <f>$C$127</f>
        <v>1</v>
      </c>
      <c r="AB127" s="45">
        <f aca="true" t="shared" si="275" ref="AB127:AL127">$C$127</f>
        <v>1</v>
      </c>
      <c r="AC127" s="45">
        <f t="shared" si="275"/>
        <v>1</v>
      </c>
      <c r="AD127" s="45">
        <f t="shared" si="275"/>
        <v>1</v>
      </c>
      <c r="AE127" s="45">
        <f t="shared" si="275"/>
        <v>1</v>
      </c>
      <c r="AF127" s="45">
        <f t="shared" si="275"/>
        <v>1</v>
      </c>
      <c r="AG127" s="45">
        <f t="shared" si="275"/>
        <v>1</v>
      </c>
      <c r="AH127" s="45">
        <f t="shared" si="275"/>
        <v>1</v>
      </c>
      <c r="AI127" s="45">
        <f t="shared" si="275"/>
        <v>1</v>
      </c>
      <c r="AJ127" s="45">
        <f t="shared" si="275"/>
        <v>1</v>
      </c>
      <c r="AK127" s="45">
        <f t="shared" si="275"/>
        <v>1</v>
      </c>
      <c r="AL127" s="45">
        <f t="shared" si="275"/>
        <v>1</v>
      </c>
      <c r="AM127" s="45">
        <f>$D$127</f>
        <v>2</v>
      </c>
      <c r="AN127" s="45">
        <f aca="true" t="shared" si="276" ref="AN127:AX127">$D$127</f>
        <v>2</v>
      </c>
      <c r="AO127" s="45">
        <f t="shared" si="276"/>
        <v>2</v>
      </c>
      <c r="AP127" s="45">
        <f t="shared" si="276"/>
        <v>2</v>
      </c>
      <c r="AQ127" s="45">
        <f t="shared" si="276"/>
        <v>2</v>
      </c>
      <c r="AR127" s="45">
        <f t="shared" si="276"/>
        <v>2</v>
      </c>
      <c r="AS127" s="45">
        <f t="shared" si="276"/>
        <v>2</v>
      </c>
      <c r="AT127" s="45">
        <f t="shared" si="276"/>
        <v>2</v>
      </c>
      <c r="AU127" s="45">
        <f t="shared" si="276"/>
        <v>2</v>
      </c>
      <c r="AV127" s="45">
        <f t="shared" si="276"/>
        <v>2</v>
      </c>
      <c r="AW127" s="45">
        <f t="shared" si="276"/>
        <v>2</v>
      </c>
      <c r="AX127" s="45">
        <f t="shared" si="276"/>
        <v>2</v>
      </c>
      <c r="AZ127" s="23">
        <f>($G$127/12)*O127</f>
        <v>0</v>
      </c>
      <c r="BA127" s="23">
        <f aca="true" t="shared" si="277" ref="BA127:BK127">($G$127/12)*P127</f>
        <v>0</v>
      </c>
      <c r="BB127" s="23">
        <f t="shared" si="277"/>
        <v>0</v>
      </c>
      <c r="BC127" s="23">
        <f t="shared" si="277"/>
        <v>0</v>
      </c>
      <c r="BD127" s="23">
        <f t="shared" si="277"/>
        <v>0</v>
      </c>
      <c r="BE127" s="23">
        <f t="shared" si="277"/>
        <v>0</v>
      </c>
      <c r="BF127" s="23">
        <f t="shared" si="277"/>
        <v>0</v>
      </c>
      <c r="BG127" s="23">
        <f t="shared" si="277"/>
        <v>0</v>
      </c>
      <c r="BH127" s="23">
        <f t="shared" si="277"/>
        <v>0</v>
      </c>
      <c r="BI127" s="23">
        <f t="shared" si="277"/>
        <v>0</v>
      </c>
      <c r="BJ127" s="23">
        <f t="shared" si="277"/>
        <v>0</v>
      </c>
      <c r="BK127" s="23">
        <f t="shared" si="277"/>
        <v>0</v>
      </c>
      <c r="BL127" s="23">
        <f>($H$127/12)*AA127</f>
        <v>3004.1666666666665</v>
      </c>
      <c r="BM127" s="23">
        <f aca="true" t="shared" si="278" ref="BM127:BW127">($H$127/12)*AB127</f>
        <v>3004.1666666666665</v>
      </c>
      <c r="BN127" s="23">
        <f t="shared" si="278"/>
        <v>3004.1666666666665</v>
      </c>
      <c r="BO127" s="23">
        <f t="shared" si="278"/>
        <v>3004.1666666666665</v>
      </c>
      <c r="BP127" s="23">
        <f t="shared" si="278"/>
        <v>3004.1666666666665</v>
      </c>
      <c r="BQ127" s="23">
        <f t="shared" si="278"/>
        <v>3004.1666666666665</v>
      </c>
      <c r="BR127" s="23">
        <f t="shared" si="278"/>
        <v>3004.1666666666665</v>
      </c>
      <c r="BS127" s="23">
        <f t="shared" si="278"/>
        <v>3004.1666666666665</v>
      </c>
      <c r="BT127" s="23">
        <f t="shared" si="278"/>
        <v>3004.1666666666665</v>
      </c>
      <c r="BU127" s="23">
        <f t="shared" si="278"/>
        <v>3004.1666666666665</v>
      </c>
      <c r="BV127" s="23">
        <f t="shared" si="278"/>
        <v>3004.1666666666665</v>
      </c>
      <c r="BW127" s="23">
        <f t="shared" si="278"/>
        <v>3004.1666666666665</v>
      </c>
      <c r="BX127" s="23">
        <f>($I$127/12)*AM127</f>
        <v>6188.583333333333</v>
      </c>
      <c r="BY127" s="23">
        <f aca="true" t="shared" si="279" ref="BY127:CI127">($I$127/12)*AN127</f>
        <v>6188.583333333333</v>
      </c>
      <c r="BZ127" s="23">
        <f t="shared" si="279"/>
        <v>6188.583333333333</v>
      </c>
      <c r="CA127" s="23">
        <f t="shared" si="279"/>
        <v>6188.583333333333</v>
      </c>
      <c r="CB127" s="23">
        <f t="shared" si="279"/>
        <v>6188.583333333333</v>
      </c>
      <c r="CC127" s="23">
        <f t="shared" si="279"/>
        <v>6188.583333333333</v>
      </c>
      <c r="CD127" s="23">
        <f t="shared" si="279"/>
        <v>6188.583333333333</v>
      </c>
      <c r="CE127" s="23">
        <f t="shared" si="279"/>
        <v>6188.583333333333</v>
      </c>
      <c r="CF127" s="23">
        <f t="shared" si="279"/>
        <v>6188.583333333333</v>
      </c>
      <c r="CG127" s="23">
        <f t="shared" si="279"/>
        <v>6188.583333333333</v>
      </c>
      <c r="CH127" s="23">
        <f t="shared" si="279"/>
        <v>6188.583333333333</v>
      </c>
      <c r="CI127" s="112">
        <f t="shared" si="279"/>
        <v>6188.583333333333</v>
      </c>
    </row>
    <row r="128" spans="1:114" s="240" customFormat="1" ht="12.75" customHeight="1">
      <c r="A128" s="241" t="s">
        <v>193</v>
      </c>
      <c r="B128" s="241">
        <f>SUM(B119:B127)</f>
        <v>0</v>
      </c>
      <c r="C128" s="240">
        <f>SUM(C119:C127)</f>
        <v>10.900000000000002</v>
      </c>
      <c r="D128" s="240">
        <f>SUM(D119:D127)</f>
        <v>25.800000000000004</v>
      </c>
      <c r="E128" s="247"/>
      <c r="F128" s="242"/>
      <c r="G128" s="243"/>
      <c r="H128" s="243"/>
      <c r="I128" s="243"/>
      <c r="J128" s="247"/>
      <c r="K128" s="244">
        <f>SUM(K119:K127)</f>
        <v>0</v>
      </c>
      <c r="L128" s="245">
        <f>SUM(L119:L127)</f>
        <v>706374</v>
      </c>
      <c r="M128" s="245">
        <f>SUM(M119:M127)</f>
        <v>1668371.34</v>
      </c>
      <c r="N128" s="247"/>
      <c r="O128" s="240">
        <f aca="true" t="shared" si="280" ref="O128:AX128">SUM(O119:O127)</f>
        <v>0</v>
      </c>
      <c r="P128" s="240">
        <f t="shared" si="280"/>
        <v>0</v>
      </c>
      <c r="Q128" s="240">
        <f t="shared" si="280"/>
        <v>0</v>
      </c>
      <c r="R128" s="240">
        <f t="shared" si="280"/>
        <v>0</v>
      </c>
      <c r="S128" s="240">
        <f t="shared" si="280"/>
        <v>0</v>
      </c>
      <c r="T128" s="240">
        <f t="shared" si="280"/>
        <v>0</v>
      </c>
      <c r="U128" s="240">
        <f t="shared" si="280"/>
        <v>0</v>
      </c>
      <c r="V128" s="240">
        <f t="shared" si="280"/>
        <v>0</v>
      </c>
      <c r="W128" s="240">
        <f t="shared" si="280"/>
        <v>0</v>
      </c>
      <c r="X128" s="240">
        <f t="shared" si="280"/>
        <v>0</v>
      </c>
      <c r="Y128" s="240">
        <f t="shared" si="280"/>
        <v>0</v>
      </c>
      <c r="Z128" s="240">
        <f t="shared" si="280"/>
        <v>0</v>
      </c>
      <c r="AA128" s="240">
        <f t="shared" si="280"/>
        <v>10.900000000000002</v>
      </c>
      <c r="AB128" s="240">
        <f t="shared" si="280"/>
        <v>10.900000000000002</v>
      </c>
      <c r="AC128" s="240">
        <f t="shared" si="280"/>
        <v>10.900000000000002</v>
      </c>
      <c r="AD128" s="240">
        <f t="shared" si="280"/>
        <v>10.900000000000002</v>
      </c>
      <c r="AE128" s="240">
        <f t="shared" si="280"/>
        <v>10.900000000000002</v>
      </c>
      <c r="AF128" s="240">
        <f t="shared" si="280"/>
        <v>10.900000000000002</v>
      </c>
      <c r="AG128" s="240">
        <f t="shared" si="280"/>
        <v>10.900000000000002</v>
      </c>
      <c r="AH128" s="240">
        <f t="shared" si="280"/>
        <v>10.900000000000002</v>
      </c>
      <c r="AI128" s="240">
        <f t="shared" si="280"/>
        <v>10.900000000000002</v>
      </c>
      <c r="AJ128" s="240">
        <f t="shared" si="280"/>
        <v>10.900000000000002</v>
      </c>
      <c r="AK128" s="240">
        <f t="shared" si="280"/>
        <v>10.900000000000002</v>
      </c>
      <c r="AL128" s="240">
        <f t="shared" si="280"/>
        <v>10.900000000000002</v>
      </c>
      <c r="AM128" s="240">
        <f t="shared" si="280"/>
        <v>25.800000000000004</v>
      </c>
      <c r="AN128" s="240">
        <f t="shared" si="280"/>
        <v>25.800000000000004</v>
      </c>
      <c r="AO128" s="240">
        <f t="shared" si="280"/>
        <v>25.800000000000004</v>
      </c>
      <c r="AP128" s="240">
        <f t="shared" si="280"/>
        <v>25.800000000000004</v>
      </c>
      <c r="AQ128" s="240">
        <f t="shared" si="280"/>
        <v>25.800000000000004</v>
      </c>
      <c r="AR128" s="240">
        <f t="shared" si="280"/>
        <v>25.800000000000004</v>
      </c>
      <c r="AS128" s="240">
        <f t="shared" si="280"/>
        <v>25.800000000000004</v>
      </c>
      <c r="AT128" s="240">
        <f t="shared" si="280"/>
        <v>25.800000000000004</v>
      </c>
      <c r="AU128" s="240">
        <f t="shared" si="280"/>
        <v>25.800000000000004</v>
      </c>
      <c r="AV128" s="240">
        <f t="shared" si="280"/>
        <v>25.800000000000004</v>
      </c>
      <c r="AW128" s="240">
        <f t="shared" si="280"/>
        <v>25.800000000000004</v>
      </c>
      <c r="AX128" s="240">
        <f t="shared" si="280"/>
        <v>25.800000000000004</v>
      </c>
      <c r="AZ128" s="243">
        <f aca="true" t="shared" si="281" ref="AZ128:CI128">SUM(AZ119:AZ127)</f>
        <v>0</v>
      </c>
      <c r="BA128" s="243">
        <f t="shared" si="281"/>
        <v>0</v>
      </c>
      <c r="BB128" s="243">
        <f t="shared" si="281"/>
        <v>0</v>
      </c>
      <c r="BC128" s="243">
        <f t="shared" si="281"/>
        <v>0</v>
      </c>
      <c r="BD128" s="243">
        <f t="shared" si="281"/>
        <v>0</v>
      </c>
      <c r="BE128" s="243">
        <f t="shared" si="281"/>
        <v>0</v>
      </c>
      <c r="BF128" s="243">
        <f t="shared" si="281"/>
        <v>0</v>
      </c>
      <c r="BG128" s="243">
        <f t="shared" si="281"/>
        <v>0</v>
      </c>
      <c r="BH128" s="243">
        <f t="shared" si="281"/>
        <v>0</v>
      </c>
      <c r="BI128" s="243">
        <f t="shared" si="281"/>
        <v>0</v>
      </c>
      <c r="BJ128" s="243">
        <f t="shared" si="281"/>
        <v>0</v>
      </c>
      <c r="BK128" s="243">
        <f t="shared" si="281"/>
        <v>0</v>
      </c>
      <c r="BL128" s="243">
        <f t="shared" si="281"/>
        <v>58864.5</v>
      </c>
      <c r="BM128" s="243">
        <f t="shared" si="281"/>
        <v>58864.5</v>
      </c>
      <c r="BN128" s="243">
        <f t="shared" si="281"/>
        <v>58864.5</v>
      </c>
      <c r="BO128" s="243">
        <f t="shared" si="281"/>
        <v>58864.5</v>
      </c>
      <c r="BP128" s="243">
        <f t="shared" si="281"/>
        <v>58864.5</v>
      </c>
      <c r="BQ128" s="243">
        <f t="shared" si="281"/>
        <v>58864.5</v>
      </c>
      <c r="BR128" s="243">
        <f t="shared" si="281"/>
        <v>58864.5</v>
      </c>
      <c r="BS128" s="243">
        <f t="shared" si="281"/>
        <v>58864.5</v>
      </c>
      <c r="BT128" s="243">
        <f t="shared" si="281"/>
        <v>58864.5</v>
      </c>
      <c r="BU128" s="243">
        <f t="shared" si="281"/>
        <v>58864.5</v>
      </c>
      <c r="BV128" s="243">
        <f t="shared" si="281"/>
        <v>58864.5</v>
      </c>
      <c r="BW128" s="243">
        <f t="shared" si="281"/>
        <v>58864.5</v>
      </c>
      <c r="BX128" s="243">
        <f t="shared" si="281"/>
        <v>139030.945</v>
      </c>
      <c r="BY128" s="243">
        <f t="shared" si="281"/>
        <v>139030.945</v>
      </c>
      <c r="BZ128" s="243">
        <f t="shared" si="281"/>
        <v>139030.945</v>
      </c>
      <c r="CA128" s="243">
        <f t="shared" si="281"/>
        <v>139030.945</v>
      </c>
      <c r="CB128" s="243">
        <f t="shared" si="281"/>
        <v>139030.945</v>
      </c>
      <c r="CC128" s="243">
        <f t="shared" si="281"/>
        <v>139030.945</v>
      </c>
      <c r="CD128" s="243">
        <f t="shared" si="281"/>
        <v>139030.945</v>
      </c>
      <c r="CE128" s="243">
        <f t="shared" si="281"/>
        <v>139030.945</v>
      </c>
      <c r="CF128" s="243">
        <f t="shared" si="281"/>
        <v>139030.945</v>
      </c>
      <c r="CG128" s="243">
        <f t="shared" si="281"/>
        <v>139030.945</v>
      </c>
      <c r="CH128" s="243">
        <f t="shared" si="281"/>
        <v>139030.945</v>
      </c>
      <c r="CI128" s="272">
        <f t="shared" si="281"/>
        <v>139030.945</v>
      </c>
      <c r="CJ128" s="243"/>
      <c r="CK128" s="243"/>
      <c r="CL128" s="243"/>
      <c r="CM128" s="243"/>
      <c r="CN128" s="243"/>
      <c r="CO128" s="243"/>
      <c r="CP128" s="243"/>
      <c r="CQ128" s="243"/>
      <c r="CR128" s="243"/>
      <c r="CS128" s="243"/>
      <c r="CT128" s="243"/>
      <c r="CU128" s="243"/>
      <c r="CV128" s="243"/>
      <c r="CW128" s="243"/>
      <c r="CX128" s="243"/>
      <c r="CY128" s="243"/>
      <c r="CZ128" s="243"/>
      <c r="DA128" s="243"/>
      <c r="DB128" s="243"/>
      <c r="DC128" s="243"/>
      <c r="DD128" s="243"/>
      <c r="DE128" s="243"/>
      <c r="DF128" s="243"/>
      <c r="DG128" s="243"/>
      <c r="DH128" s="243"/>
      <c r="DI128" s="243"/>
      <c r="DJ128" s="243"/>
    </row>
    <row r="129" spans="1:87" ht="13.5">
      <c r="A129" s="32" t="s">
        <v>407</v>
      </c>
      <c r="B129" s="32"/>
      <c r="C129" s="26"/>
      <c r="D129" s="26"/>
      <c r="E129" s="246"/>
      <c r="F129" s="111"/>
      <c r="G129" s="23"/>
      <c r="H129" s="23"/>
      <c r="I129" s="23"/>
      <c r="J129" s="246"/>
      <c r="K129" s="158">
        <f>K128*B6</f>
        <v>0</v>
      </c>
      <c r="L129" s="153">
        <f>L128*C6</f>
        <v>176593.5</v>
      </c>
      <c r="M129" s="153">
        <f>M128*D6</f>
        <v>417092.835</v>
      </c>
      <c r="N129" s="24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3">
        <f>AZ128*$B$6</f>
        <v>0</v>
      </c>
      <c r="BA129" s="23">
        <f aca="true" t="shared" si="282" ref="BA129:BK129">BA128*$B$6</f>
        <v>0</v>
      </c>
      <c r="BB129" s="23">
        <f t="shared" si="282"/>
        <v>0</v>
      </c>
      <c r="BC129" s="23">
        <f t="shared" si="282"/>
        <v>0</v>
      </c>
      <c r="BD129" s="23">
        <f t="shared" si="282"/>
        <v>0</v>
      </c>
      <c r="BE129" s="23">
        <f t="shared" si="282"/>
        <v>0</v>
      </c>
      <c r="BF129" s="23">
        <f t="shared" si="282"/>
        <v>0</v>
      </c>
      <c r="BG129" s="23">
        <f t="shared" si="282"/>
        <v>0</v>
      </c>
      <c r="BH129" s="23">
        <f t="shared" si="282"/>
        <v>0</v>
      </c>
      <c r="BI129" s="23">
        <f t="shared" si="282"/>
        <v>0</v>
      </c>
      <c r="BJ129" s="23">
        <f t="shared" si="282"/>
        <v>0</v>
      </c>
      <c r="BK129" s="23">
        <f t="shared" si="282"/>
        <v>0</v>
      </c>
      <c r="BL129" s="23">
        <f>BL128*$C$6</f>
        <v>14716.125</v>
      </c>
      <c r="BM129" s="23">
        <f aca="true" t="shared" si="283" ref="BM129:BW129">BM128*$C$6</f>
        <v>14716.125</v>
      </c>
      <c r="BN129" s="23">
        <f t="shared" si="283"/>
        <v>14716.125</v>
      </c>
      <c r="BO129" s="23">
        <f t="shared" si="283"/>
        <v>14716.125</v>
      </c>
      <c r="BP129" s="23">
        <f t="shared" si="283"/>
        <v>14716.125</v>
      </c>
      <c r="BQ129" s="23">
        <f t="shared" si="283"/>
        <v>14716.125</v>
      </c>
      <c r="BR129" s="23">
        <f t="shared" si="283"/>
        <v>14716.125</v>
      </c>
      <c r="BS129" s="23">
        <f t="shared" si="283"/>
        <v>14716.125</v>
      </c>
      <c r="BT129" s="23">
        <f t="shared" si="283"/>
        <v>14716.125</v>
      </c>
      <c r="BU129" s="23">
        <f t="shared" si="283"/>
        <v>14716.125</v>
      </c>
      <c r="BV129" s="23">
        <f t="shared" si="283"/>
        <v>14716.125</v>
      </c>
      <c r="BW129" s="23">
        <f t="shared" si="283"/>
        <v>14716.125</v>
      </c>
      <c r="BX129" s="23">
        <f>BX128*$D$6</f>
        <v>34757.73625</v>
      </c>
      <c r="BY129" s="23">
        <f aca="true" t="shared" si="284" ref="BY129:CI129">BY128*$D$6</f>
        <v>34757.73625</v>
      </c>
      <c r="BZ129" s="23">
        <f t="shared" si="284"/>
        <v>34757.73625</v>
      </c>
      <c r="CA129" s="23">
        <f t="shared" si="284"/>
        <v>34757.73625</v>
      </c>
      <c r="CB129" s="23">
        <f t="shared" si="284"/>
        <v>34757.73625</v>
      </c>
      <c r="CC129" s="23">
        <f t="shared" si="284"/>
        <v>34757.73625</v>
      </c>
      <c r="CD129" s="23">
        <f t="shared" si="284"/>
        <v>34757.73625</v>
      </c>
      <c r="CE129" s="23">
        <f t="shared" si="284"/>
        <v>34757.73625</v>
      </c>
      <c r="CF129" s="23">
        <f t="shared" si="284"/>
        <v>34757.73625</v>
      </c>
      <c r="CG129" s="23">
        <f t="shared" si="284"/>
        <v>34757.73625</v>
      </c>
      <c r="CH129" s="23">
        <f t="shared" si="284"/>
        <v>34757.73625</v>
      </c>
      <c r="CI129" s="112">
        <f t="shared" si="284"/>
        <v>34757.73625</v>
      </c>
    </row>
    <row r="130" spans="1:87" ht="15" thickBot="1">
      <c r="A130" s="273" t="s">
        <v>329</v>
      </c>
      <c r="B130" s="159"/>
      <c r="C130" s="138"/>
      <c r="D130" s="138"/>
      <c r="E130" s="256"/>
      <c r="F130" s="125"/>
      <c r="G130" s="126"/>
      <c r="H130" s="126"/>
      <c r="I130" s="126"/>
      <c r="J130" s="256"/>
      <c r="K130" s="257">
        <f>K128+K129</f>
        <v>0</v>
      </c>
      <c r="L130" s="258">
        <f>L128+L129</f>
        <v>882967.5</v>
      </c>
      <c r="M130" s="258">
        <f>M128+M129</f>
        <v>2085464.175</v>
      </c>
      <c r="N130" s="256"/>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26">
        <f aca="true" t="shared" si="285" ref="AZ130:CI130">AZ128+AZ129</f>
        <v>0</v>
      </c>
      <c r="BA130" s="126">
        <f t="shared" si="285"/>
        <v>0</v>
      </c>
      <c r="BB130" s="126">
        <f t="shared" si="285"/>
        <v>0</v>
      </c>
      <c r="BC130" s="126">
        <f t="shared" si="285"/>
        <v>0</v>
      </c>
      <c r="BD130" s="126">
        <f t="shared" si="285"/>
        <v>0</v>
      </c>
      <c r="BE130" s="126">
        <f t="shared" si="285"/>
        <v>0</v>
      </c>
      <c r="BF130" s="126">
        <f t="shared" si="285"/>
        <v>0</v>
      </c>
      <c r="BG130" s="126">
        <f t="shared" si="285"/>
        <v>0</v>
      </c>
      <c r="BH130" s="126">
        <f t="shared" si="285"/>
        <v>0</v>
      </c>
      <c r="BI130" s="126">
        <f t="shared" si="285"/>
        <v>0</v>
      </c>
      <c r="BJ130" s="126">
        <f t="shared" si="285"/>
        <v>0</v>
      </c>
      <c r="BK130" s="126">
        <f t="shared" si="285"/>
        <v>0</v>
      </c>
      <c r="BL130" s="126">
        <f t="shared" si="285"/>
        <v>73580.625</v>
      </c>
      <c r="BM130" s="126">
        <f t="shared" si="285"/>
        <v>73580.625</v>
      </c>
      <c r="BN130" s="126">
        <f t="shared" si="285"/>
        <v>73580.625</v>
      </c>
      <c r="BO130" s="126">
        <f t="shared" si="285"/>
        <v>73580.625</v>
      </c>
      <c r="BP130" s="126">
        <f t="shared" si="285"/>
        <v>73580.625</v>
      </c>
      <c r="BQ130" s="126">
        <f t="shared" si="285"/>
        <v>73580.625</v>
      </c>
      <c r="BR130" s="126">
        <f t="shared" si="285"/>
        <v>73580.625</v>
      </c>
      <c r="BS130" s="126">
        <f t="shared" si="285"/>
        <v>73580.625</v>
      </c>
      <c r="BT130" s="126">
        <f t="shared" si="285"/>
        <v>73580.625</v>
      </c>
      <c r="BU130" s="126">
        <f t="shared" si="285"/>
        <v>73580.625</v>
      </c>
      <c r="BV130" s="126">
        <f t="shared" si="285"/>
        <v>73580.625</v>
      </c>
      <c r="BW130" s="126">
        <f t="shared" si="285"/>
        <v>73580.625</v>
      </c>
      <c r="BX130" s="126">
        <f t="shared" si="285"/>
        <v>173788.68125000002</v>
      </c>
      <c r="BY130" s="126">
        <f t="shared" si="285"/>
        <v>173788.68125000002</v>
      </c>
      <c r="BZ130" s="126">
        <f t="shared" si="285"/>
        <v>173788.68125000002</v>
      </c>
      <c r="CA130" s="126">
        <f t="shared" si="285"/>
        <v>173788.68125000002</v>
      </c>
      <c r="CB130" s="126">
        <f t="shared" si="285"/>
        <v>173788.68125000002</v>
      </c>
      <c r="CC130" s="126">
        <f t="shared" si="285"/>
        <v>173788.68125000002</v>
      </c>
      <c r="CD130" s="126">
        <f t="shared" si="285"/>
        <v>173788.68125000002</v>
      </c>
      <c r="CE130" s="126">
        <f t="shared" si="285"/>
        <v>173788.68125000002</v>
      </c>
      <c r="CF130" s="126">
        <f t="shared" si="285"/>
        <v>173788.68125000002</v>
      </c>
      <c r="CG130" s="126">
        <f t="shared" si="285"/>
        <v>173788.68125000002</v>
      </c>
      <c r="CH130" s="126">
        <f t="shared" si="285"/>
        <v>173788.68125000002</v>
      </c>
      <c r="CI130" s="127">
        <f t="shared" si="285"/>
        <v>173788.68125000002</v>
      </c>
    </row>
    <row r="131" spans="6:87" s="45" customFormat="1" ht="12.75" customHeight="1">
      <c r="F131" s="183"/>
      <c r="G131" s="183"/>
      <c r="H131" s="183"/>
      <c r="I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c r="CE131" s="183"/>
      <c r="CF131" s="183"/>
      <c r="CG131" s="183"/>
      <c r="CH131" s="183"/>
      <c r="CI131" s="183"/>
    </row>
    <row r="132" s="45" customFormat="1" ht="12.75" customHeight="1"/>
    <row r="133" ht="12.75" customHeight="1" thickBot="1"/>
    <row r="134" spans="1:87" ht="13.5">
      <c r="A134" s="270" t="s">
        <v>265</v>
      </c>
      <c r="B134" s="208" t="s">
        <v>321</v>
      </c>
      <c r="C134" s="209"/>
      <c r="D134" s="209"/>
      <c r="E134" s="254"/>
      <c r="F134" s="208" t="s">
        <v>257</v>
      </c>
      <c r="G134" s="209"/>
      <c r="H134" s="209"/>
      <c r="I134" s="209"/>
      <c r="J134" s="254"/>
      <c r="K134" s="208" t="s">
        <v>247</v>
      </c>
      <c r="L134" s="209"/>
      <c r="M134" s="209"/>
      <c r="N134" s="254"/>
      <c r="O134" s="54" t="s">
        <v>196</v>
      </c>
      <c r="P134" s="54"/>
      <c r="Q134" s="54"/>
      <c r="R134" s="54"/>
      <c r="S134" s="54"/>
      <c r="T134" s="54"/>
      <c r="U134" s="54"/>
      <c r="V134" s="54"/>
      <c r="W134" s="54"/>
      <c r="X134" s="54"/>
      <c r="Y134" s="54"/>
      <c r="Z134" s="54"/>
      <c r="AA134" s="54" t="s">
        <v>197</v>
      </c>
      <c r="AB134" s="54"/>
      <c r="AC134" s="54"/>
      <c r="AD134" s="54"/>
      <c r="AE134" s="54"/>
      <c r="AF134" s="54"/>
      <c r="AG134" s="54"/>
      <c r="AH134" s="54"/>
      <c r="AI134" s="54"/>
      <c r="AJ134" s="54"/>
      <c r="AK134" s="54"/>
      <c r="AL134" s="54"/>
      <c r="AM134" s="54" t="s">
        <v>198</v>
      </c>
      <c r="AN134" s="54"/>
      <c r="AO134" s="54"/>
      <c r="AP134" s="54"/>
      <c r="AQ134" s="54"/>
      <c r="AR134" s="54"/>
      <c r="AS134" s="54"/>
      <c r="AT134" s="54"/>
      <c r="AU134" s="54"/>
      <c r="AV134" s="54"/>
      <c r="AW134" s="54"/>
      <c r="AX134" s="54"/>
      <c r="AY134" s="209"/>
      <c r="AZ134" s="255" t="s">
        <v>196</v>
      </c>
      <c r="BA134" s="209"/>
      <c r="BB134" s="209"/>
      <c r="BC134" s="209"/>
      <c r="BD134" s="54"/>
      <c r="BE134" s="54"/>
      <c r="BF134" s="54"/>
      <c r="BG134" s="54"/>
      <c r="BH134" s="54"/>
      <c r="BI134" s="54"/>
      <c r="BJ134" s="54"/>
      <c r="BK134" s="54"/>
      <c r="BL134" s="255" t="s">
        <v>197</v>
      </c>
      <c r="BM134" s="209"/>
      <c r="BN134" s="209"/>
      <c r="BO134" s="209"/>
      <c r="BP134" s="54"/>
      <c r="BQ134" s="54"/>
      <c r="BR134" s="54"/>
      <c r="BS134" s="54"/>
      <c r="BT134" s="54"/>
      <c r="BU134" s="54"/>
      <c r="BV134" s="54"/>
      <c r="BW134" s="54"/>
      <c r="BX134" s="255" t="s">
        <v>198</v>
      </c>
      <c r="BY134" s="209"/>
      <c r="BZ134" s="209"/>
      <c r="CA134" s="209"/>
      <c r="CB134" s="54"/>
      <c r="CC134" s="54"/>
      <c r="CD134" s="54"/>
      <c r="CE134" s="54"/>
      <c r="CF134" s="54"/>
      <c r="CG134" s="54"/>
      <c r="CH134" s="54"/>
      <c r="CI134" s="39"/>
    </row>
    <row r="135" spans="1:87" ht="13.5">
      <c r="A135" s="32"/>
      <c r="B135" s="32" t="s">
        <v>196</v>
      </c>
      <c r="C135" s="26" t="s">
        <v>197</v>
      </c>
      <c r="D135" s="26" t="s">
        <v>198</v>
      </c>
      <c r="E135" s="246"/>
      <c r="F135" s="210" t="s">
        <v>125</v>
      </c>
      <c r="G135" s="55" t="s">
        <v>196</v>
      </c>
      <c r="H135" s="55" t="s">
        <v>197</v>
      </c>
      <c r="I135" s="55" t="s">
        <v>198</v>
      </c>
      <c r="J135" s="246"/>
      <c r="K135" s="32" t="s">
        <v>196</v>
      </c>
      <c r="L135" s="26" t="s">
        <v>197</v>
      </c>
      <c r="M135" s="26" t="s">
        <v>198</v>
      </c>
      <c r="N135" s="246"/>
      <c r="O135" s="41" t="s">
        <v>200</v>
      </c>
      <c r="P135" s="41" t="s">
        <v>201</v>
      </c>
      <c r="Q135" s="41" t="s">
        <v>202</v>
      </c>
      <c r="R135" s="41" t="s">
        <v>203</v>
      </c>
      <c r="S135" s="41" t="s">
        <v>477</v>
      </c>
      <c r="T135" s="41" t="s">
        <v>357</v>
      </c>
      <c r="U135" s="41" t="s">
        <v>358</v>
      </c>
      <c r="V135" s="41" t="s">
        <v>359</v>
      </c>
      <c r="W135" s="41" t="s">
        <v>360</v>
      </c>
      <c r="X135" s="41" t="s">
        <v>361</v>
      </c>
      <c r="Y135" s="41" t="s">
        <v>362</v>
      </c>
      <c r="Z135" s="41" t="s">
        <v>363</v>
      </c>
      <c r="AA135" s="41" t="s">
        <v>200</v>
      </c>
      <c r="AB135" s="41" t="s">
        <v>201</v>
      </c>
      <c r="AC135" s="41" t="s">
        <v>202</v>
      </c>
      <c r="AD135" s="41" t="s">
        <v>203</v>
      </c>
      <c r="AE135" s="41" t="s">
        <v>477</v>
      </c>
      <c r="AF135" s="41" t="s">
        <v>357</v>
      </c>
      <c r="AG135" s="41" t="s">
        <v>358</v>
      </c>
      <c r="AH135" s="41" t="s">
        <v>359</v>
      </c>
      <c r="AI135" s="41" t="s">
        <v>360</v>
      </c>
      <c r="AJ135" s="41" t="s">
        <v>361</v>
      </c>
      <c r="AK135" s="41" t="s">
        <v>362</v>
      </c>
      <c r="AL135" s="41" t="s">
        <v>363</v>
      </c>
      <c r="AM135" s="43" t="s">
        <v>200</v>
      </c>
      <c r="AN135" s="43" t="s">
        <v>201</v>
      </c>
      <c r="AO135" s="43" t="s">
        <v>202</v>
      </c>
      <c r="AP135" s="43" t="s">
        <v>203</v>
      </c>
      <c r="AQ135" s="43" t="s">
        <v>477</v>
      </c>
      <c r="AR135" s="43" t="s">
        <v>357</v>
      </c>
      <c r="AS135" s="43" t="s">
        <v>358</v>
      </c>
      <c r="AT135" s="43" t="s">
        <v>359</v>
      </c>
      <c r="AU135" s="43" t="s">
        <v>360</v>
      </c>
      <c r="AV135" s="43" t="s">
        <v>361</v>
      </c>
      <c r="AW135" s="43" t="s">
        <v>362</v>
      </c>
      <c r="AX135" s="43" t="s">
        <v>363</v>
      </c>
      <c r="AY135" s="26"/>
      <c r="AZ135" s="41" t="s">
        <v>200</v>
      </c>
      <c r="BA135" s="41" t="s">
        <v>201</v>
      </c>
      <c r="BB135" s="41" t="s">
        <v>202</v>
      </c>
      <c r="BC135" s="41" t="s">
        <v>203</v>
      </c>
      <c r="BD135" s="41" t="s">
        <v>477</v>
      </c>
      <c r="BE135" s="41" t="s">
        <v>357</v>
      </c>
      <c r="BF135" s="41" t="s">
        <v>358</v>
      </c>
      <c r="BG135" s="41" t="s">
        <v>359</v>
      </c>
      <c r="BH135" s="41" t="s">
        <v>360</v>
      </c>
      <c r="BI135" s="41" t="s">
        <v>361</v>
      </c>
      <c r="BJ135" s="41" t="s">
        <v>362</v>
      </c>
      <c r="BK135" s="41" t="s">
        <v>363</v>
      </c>
      <c r="BL135" s="41" t="s">
        <v>200</v>
      </c>
      <c r="BM135" s="41" t="s">
        <v>201</v>
      </c>
      <c r="BN135" s="41" t="s">
        <v>202</v>
      </c>
      <c r="BO135" s="41" t="s">
        <v>203</v>
      </c>
      <c r="BP135" s="41" t="s">
        <v>477</v>
      </c>
      <c r="BQ135" s="41" t="s">
        <v>357</v>
      </c>
      <c r="BR135" s="41" t="s">
        <v>358</v>
      </c>
      <c r="BS135" s="41" t="s">
        <v>359</v>
      </c>
      <c r="BT135" s="41" t="s">
        <v>360</v>
      </c>
      <c r="BU135" s="41" t="s">
        <v>361</v>
      </c>
      <c r="BV135" s="41" t="s">
        <v>362</v>
      </c>
      <c r="BW135" s="41" t="s">
        <v>363</v>
      </c>
      <c r="BX135" s="43" t="s">
        <v>200</v>
      </c>
      <c r="BY135" s="43" t="s">
        <v>201</v>
      </c>
      <c r="BZ135" s="43" t="s">
        <v>202</v>
      </c>
      <c r="CA135" s="43" t="s">
        <v>203</v>
      </c>
      <c r="CB135" s="43" t="s">
        <v>477</v>
      </c>
      <c r="CC135" s="43" t="s">
        <v>357</v>
      </c>
      <c r="CD135" s="43" t="s">
        <v>358</v>
      </c>
      <c r="CE135" s="43" t="s">
        <v>359</v>
      </c>
      <c r="CF135" s="43" t="s">
        <v>360</v>
      </c>
      <c r="CG135" s="43" t="s">
        <v>361</v>
      </c>
      <c r="CH135" s="43" t="s">
        <v>362</v>
      </c>
      <c r="CI135" s="106" t="s">
        <v>363</v>
      </c>
    </row>
    <row r="136" spans="1:87" ht="13.5">
      <c r="A136" s="271" t="s">
        <v>266</v>
      </c>
      <c r="B136" s="32"/>
      <c r="C136" s="26"/>
      <c r="D136" s="26"/>
      <c r="E136" s="246"/>
      <c r="F136" s="111"/>
      <c r="G136" s="23"/>
      <c r="H136" s="23"/>
      <c r="I136" s="23"/>
      <c r="J136" s="246"/>
      <c r="K136" s="32"/>
      <c r="L136" s="26"/>
      <c r="M136" s="26"/>
      <c r="N136" s="24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3"/>
      <c r="BA136" s="23"/>
      <c r="BB136" s="23"/>
      <c r="BC136" s="23"/>
      <c r="BD136" s="23"/>
      <c r="BE136" s="23"/>
      <c r="BF136" s="23"/>
      <c r="BG136" s="23"/>
      <c r="BH136" s="23"/>
      <c r="BI136" s="23"/>
      <c r="BJ136" s="23"/>
      <c r="BK136" s="23"/>
      <c r="BL136" s="23"/>
      <c r="BM136" s="23"/>
      <c r="BN136" s="23"/>
      <c r="BO136" s="23"/>
      <c r="BP136" s="23"/>
      <c r="BQ136" s="23"/>
      <c r="BR136" s="23"/>
      <c r="BS136" s="23"/>
      <c r="BT136" s="23"/>
      <c r="BU136" s="23"/>
      <c r="BV136" s="23"/>
      <c r="BW136" s="23"/>
      <c r="BX136" s="23"/>
      <c r="BY136" s="23"/>
      <c r="BZ136" s="23"/>
      <c r="CA136" s="23"/>
      <c r="CB136" s="23"/>
      <c r="CC136" s="23"/>
      <c r="CD136" s="23"/>
      <c r="CE136" s="23"/>
      <c r="CF136" s="23"/>
      <c r="CG136" s="23"/>
      <c r="CH136" s="23"/>
      <c r="CI136" s="112"/>
    </row>
    <row r="137" spans="1:87" ht="13.5">
      <c r="A137" s="32" t="s">
        <v>151</v>
      </c>
      <c r="B137" s="234">
        <v>1</v>
      </c>
      <c r="C137" s="235">
        <v>2</v>
      </c>
      <c r="D137" s="235">
        <v>3</v>
      </c>
      <c r="E137" s="246"/>
      <c r="F137" s="212">
        <f>F111</f>
        <v>40000</v>
      </c>
      <c r="G137" s="23">
        <f>F137</f>
        <v>40000</v>
      </c>
      <c r="H137" s="23">
        <f>G137*(1+C5)</f>
        <v>41200</v>
      </c>
      <c r="I137" s="23">
        <f>H137*(1+D5)</f>
        <v>42436</v>
      </c>
      <c r="J137" s="246"/>
      <c r="K137" s="158">
        <f>SUM(AZ137:BK137)</f>
        <v>33333.33333333333</v>
      </c>
      <c r="L137" s="153">
        <f>SUM(BL137:BW137)</f>
        <v>82400</v>
      </c>
      <c r="M137" s="153">
        <f>SUM(BX137:CI137)</f>
        <v>127308</v>
      </c>
      <c r="N137" s="246"/>
      <c r="O137" s="26">
        <v>0</v>
      </c>
      <c r="P137" s="26">
        <v>0</v>
      </c>
      <c r="Q137" s="26">
        <f aca="true" t="shared" si="286" ref="Q137:Z137">$B$137</f>
        <v>1</v>
      </c>
      <c r="R137" s="26">
        <f t="shared" si="286"/>
        <v>1</v>
      </c>
      <c r="S137" s="26">
        <f t="shared" si="286"/>
        <v>1</v>
      </c>
      <c r="T137" s="26">
        <f t="shared" si="286"/>
        <v>1</v>
      </c>
      <c r="U137" s="26">
        <f t="shared" si="286"/>
        <v>1</v>
      </c>
      <c r="V137" s="26">
        <f t="shared" si="286"/>
        <v>1</v>
      </c>
      <c r="W137" s="26">
        <f t="shared" si="286"/>
        <v>1</v>
      </c>
      <c r="X137" s="26">
        <f t="shared" si="286"/>
        <v>1</v>
      </c>
      <c r="Y137" s="26">
        <f t="shared" si="286"/>
        <v>1</v>
      </c>
      <c r="Z137" s="26">
        <f t="shared" si="286"/>
        <v>1</v>
      </c>
      <c r="AA137" s="26">
        <f>$C$137</f>
        <v>2</v>
      </c>
      <c r="AB137" s="26">
        <f aca="true" t="shared" si="287" ref="AB137:AL137">$C$137</f>
        <v>2</v>
      </c>
      <c r="AC137" s="26">
        <f t="shared" si="287"/>
        <v>2</v>
      </c>
      <c r="AD137" s="26">
        <f t="shared" si="287"/>
        <v>2</v>
      </c>
      <c r="AE137" s="26">
        <f t="shared" si="287"/>
        <v>2</v>
      </c>
      <c r="AF137" s="26">
        <f t="shared" si="287"/>
        <v>2</v>
      </c>
      <c r="AG137" s="26">
        <f t="shared" si="287"/>
        <v>2</v>
      </c>
      <c r="AH137" s="26">
        <f t="shared" si="287"/>
        <v>2</v>
      </c>
      <c r="AI137" s="26">
        <f t="shared" si="287"/>
        <v>2</v>
      </c>
      <c r="AJ137" s="26">
        <f t="shared" si="287"/>
        <v>2</v>
      </c>
      <c r="AK137" s="26">
        <f t="shared" si="287"/>
        <v>2</v>
      </c>
      <c r="AL137" s="26">
        <f t="shared" si="287"/>
        <v>2</v>
      </c>
      <c r="AM137" s="26">
        <f>$D$137</f>
        <v>3</v>
      </c>
      <c r="AN137" s="26">
        <f aca="true" t="shared" si="288" ref="AN137:AX137">$D$137</f>
        <v>3</v>
      </c>
      <c r="AO137" s="26">
        <f t="shared" si="288"/>
        <v>3</v>
      </c>
      <c r="AP137" s="26">
        <f t="shared" si="288"/>
        <v>3</v>
      </c>
      <c r="AQ137" s="26">
        <f t="shared" si="288"/>
        <v>3</v>
      </c>
      <c r="AR137" s="26">
        <f t="shared" si="288"/>
        <v>3</v>
      </c>
      <c r="AS137" s="26">
        <f t="shared" si="288"/>
        <v>3</v>
      </c>
      <c r="AT137" s="26">
        <f t="shared" si="288"/>
        <v>3</v>
      </c>
      <c r="AU137" s="26">
        <f t="shared" si="288"/>
        <v>3</v>
      </c>
      <c r="AV137" s="26">
        <f t="shared" si="288"/>
        <v>3</v>
      </c>
      <c r="AW137" s="26">
        <f t="shared" si="288"/>
        <v>3</v>
      </c>
      <c r="AX137" s="26">
        <f t="shared" si="288"/>
        <v>3</v>
      </c>
      <c r="AY137" s="26"/>
      <c r="AZ137" s="23">
        <f>($G$137/12)*O137</f>
        <v>0</v>
      </c>
      <c r="BA137" s="23">
        <f aca="true" t="shared" si="289" ref="BA137:BK137">($G$137/12)*P137</f>
        <v>0</v>
      </c>
      <c r="BB137" s="23">
        <f t="shared" si="289"/>
        <v>3333.3333333333335</v>
      </c>
      <c r="BC137" s="23">
        <f t="shared" si="289"/>
        <v>3333.3333333333335</v>
      </c>
      <c r="BD137" s="23">
        <f t="shared" si="289"/>
        <v>3333.3333333333335</v>
      </c>
      <c r="BE137" s="23">
        <f t="shared" si="289"/>
        <v>3333.3333333333335</v>
      </c>
      <c r="BF137" s="23">
        <f t="shared" si="289"/>
        <v>3333.3333333333335</v>
      </c>
      <c r="BG137" s="23">
        <f t="shared" si="289"/>
        <v>3333.3333333333335</v>
      </c>
      <c r="BH137" s="23">
        <f t="shared" si="289"/>
        <v>3333.3333333333335</v>
      </c>
      <c r="BI137" s="23">
        <f t="shared" si="289"/>
        <v>3333.3333333333335</v>
      </c>
      <c r="BJ137" s="23">
        <f t="shared" si="289"/>
        <v>3333.3333333333335</v>
      </c>
      <c r="BK137" s="23">
        <f t="shared" si="289"/>
        <v>3333.3333333333335</v>
      </c>
      <c r="BL137" s="23">
        <f>($H$137/12)*AA137</f>
        <v>6866.666666666667</v>
      </c>
      <c r="BM137" s="23">
        <f aca="true" t="shared" si="290" ref="BM137:BW137">($H$137/12)*AB137</f>
        <v>6866.666666666667</v>
      </c>
      <c r="BN137" s="23">
        <f t="shared" si="290"/>
        <v>6866.666666666667</v>
      </c>
      <c r="BO137" s="23">
        <f t="shared" si="290"/>
        <v>6866.666666666667</v>
      </c>
      <c r="BP137" s="23">
        <f t="shared" si="290"/>
        <v>6866.666666666667</v>
      </c>
      <c r="BQ137" s="23">
        <f t="shared" si="290"/>
        <v>6866.666666666667</v>
      </c>
      <c r="BR137" s="23">
        <f t="shared" si="290"/>
        <v>6866.666666666667</v>
      </c>
      <c r="BS137" s="23">
        <f t="shared" si="290"/>
        <v>6866.666666666667</v>
      </c>
      <c r="BT137" s="23">
        <f t="shared" si="290"/>
        <v>6866.666666666667</v>
      </c>
      <c r="BU137" s="23">
        <f t="shared" si="290"/>
        <v>6866.666666666667</v>
      </c>
      <c r="BV137" s="23">
        <f t="shared" si="290"/>
        <v>6866.666666666667</v>
      </c>
      <c r="BW137" s="23">
        <f t="shared" si="290"/>
        <v>6866.666666666667</v>
      </c>
      <c r="BX137" s="23">
        <f>($I$137/12)*AM137</f>
        <v>10609</v>
      </c>
      <c r="BY137" s="23">
        <f aca="true" t="shared" si="291" ref="BY137:CI137">($I$137/12)*AN137</f>
        <v>10609</v>
      </c>
      <c r="BZ137" s="23">
        <f t="shared" si="291"/>
        <v>10609</v>
      </c>
      <c r="CA137" s="23">
        <f t="shared" si="291"/>
        <v>10609</v>
      </c>
      <c r="CB137" s="23">
        <f t="shared" si="291"/>
        <v>10609</v>
      </c>
      <c r="CC137" s="23">
        <f t="shared" si="291"/>
        <v>10609</v>
      </c>
      <c r="CD137" s="23">
        <f t="shared" si="291"/>
        <v>10609</v>
      </c>
      <c r="CE137" s="23">
        <f t="shared" si="291"/>
        <v>10609</v>
      </c>
      <c r="CF137" s="23">
        <f t="shared" si="291"/>
        <v>10609</v>
      </c>
      <c r="CG137" s="23">
        <f t="shared" si="291"/>
        <v>10609</v>
      </c>
      <c r="CH137" s="23">
        <f t="shared" si="291"/>
        <v>10609</v>
      </c>
      <c r="CI137" s="112">
        <f t="shared" si="291"/>
        <v>10609</v>
      </c>
    </row>
    <row r="138" spans="1:114" s="26" customFormat="1" ht="12.75" customHeight="1">
      <c r="A138" s="32" t="s">
        <v>152</v>
      </c>
      <c r="B138" s="234">
        <v>0.3</v>
      </c>
      <c r="C138" s="235">
        <v>0.6</v>
      </c>
      <c r="D138" s="235">
        <v>1</v>
      </c>
      <c r="E138" s="246"/>
      <c r="F138" s="212">
        <f>F112</f>
        <v>35000</v>
      </c>
      <c r="G138" s="23">
        <f>F138</f>
        <v>35000</v>
      </c>
      <c r="H138" s="23">
        <f>G138*(1+C5)</f>
        <v>36050</v>
      </c>
      <c r="I138" s="23">
        <f>H138*(1+D5)</f>
        <v>37131.5</v>
      </c>
      <c r="J138" s="246"/>
      <c r="K138" s="158">
        <f>SUM(AZ138:BK138)</f>
        <v>7874.999999999999</v>
      </c>
      <c r="L138" s="153">
        <f>SUM(BL138:BW138)</f>
        <v>21629.999999999996</v>
      </c>
      <c r="M138" s="153">
        <f>SUM(BX138:CI138)</f>
        <v>37131.5</v>
      </c>
      <c r="N138" s="246"/>
      <c r="O138" s="26">
        <v>0</v>
      </c>
      <c r="P138" s="26">
        <v>0</v>
      </c>
      <c r="Q138" s="26">
        <v>0</v>
      </c>
      <c r="R138" s="26">
        <f aca="true" t="shared" si="292" ref="R138:Z138">$B$138</f>
        <v>0.3</v>
      </c>
      <c r="S138" s="26">
        <f t="shared" si="292"/>
        <v>0.3</v>
      </c>
      <c r="T138" s="26">
        <f t="shared" si="292"/>
        <v>0.3</v>
      </c>
      <c r="U138" s="26">
        <f t="shared" si="292"/>
        <v>0.3</v>
      </c>
      <c r="V138" s="26">
        <f t="shared" si="292"/>
        <v>0.3</v>
      </c>
      <c r="W138" s="26">
        <f t="shared" si="292"/>
        <v>0.3</v>
      </c>
      <c r="X138" s="26">
        <f t="shared" si="292"/>
        <v>0.3</v>
      </c>
      <c r="Y138" s="26">
        <f t="shared" si="292"/>
        <v>0.3</v>
      </c>
      <c r="Z138" s="26">
        <f t="shared" si="292"/>
        <v>0.3</v>
      </c>
      <c r="AA138" s="26">
        <f>$C$138</f>
        <v>0.6</v>
      </c>
      <c r="AB138" s="26">
        <f aca="true" t="shared" si="293" ref="AB138:AL138">$C$138</f>
        <v>0.6</v>
      </c>
      <c r="AC138" s="26">
        <f t="shared" si="293"/>
        <v>0.6</v>
      </c>
      <c r="AD138" s="26">
        <f t="shared" si="293"/>
        <v>0.6</v>
      </c>
      <c r="AE138" s="26">
        <f t="shared" si="293"/>
        <v>0.6</v>
      </c>
      <c r="AF138" s="26">
        <f t="shared" si="293"/>
        <v>0.6</v>
      </c>
      <c r="AG138" s="26">
        <f t="shared" si="293"/>
        <v>0.6</v>
      </c>
      <c r="AH138" s="26">
        <f t="shared" si="293"/>
        <v>0.6</v>
      </c>
      <c r="AI138" s="26">
        <f t="shared" si="293"/>
        <v>0.6</v>
      </c>
      <c r="AJ138" s="26">
        <f t="shared" si="293"/>
        <v>0.6</v>
      </c>
      <c r="AK138" s="26">
        <f t="shared" si="293"/>
        <v>0.6</v>
      </c>
      <c r="AL138" s="26">
        <f t="shared" si="293"/>
        <v>0.6</v>
      </c>
      <c r="AM138" s="26">
        <f>$D$138</f>
        <v>1</v>
      </c>
      <c r="AN138" s="26">
        <f aca="true" t="shared" si="294" ref="AN138:AX139">$D$138</f>
        <v>1</v>
      </c>
      <c r="AO138" s="26">
        <f t="shared" si="294"/>
        <v>1</v>
      </c>
      <c r="AP138" s="26">
        <f t="shared" si="294"/>
        <v>1</v>
      </c>
      <c r="AQ138" s="26">
        <f t="shared" si="294"/>
        <v>1</v>
      </c>
      <c r="AR138" s="26">
        <f t="shared" si="294"/>
        <v>1</v>
      </c>
      <c r="AS138" s="26">
        <f t="shared" si="294"/>
        <v>1</v>
      </c>
      <c r="AT138" s="26">
        <f t="shared" si="294"/>
        <v>1</v>
      </c>
      <c r="AU138" s="26">
        <f t="shared" si="294"/>
        <v>1</v>
      </c>
      <c r="AV138" s="26">
        <f t="shared" si="294"/>
        <v>1</v>
      </c>
      <c r="AW138" s="26">
        <f t="shared" si="294"/>
        <v>1</v>
      </c>
      <c r="AX138" s="26">
        <f t="shared" si="294"/>
        <v>1</v>
      </c>
      <c r="AZ138" s="23">
        <f>($G$138/12)*O138</f>
        <v>0</v>
      </c>
      <c r="BA138" s="23">
        <f aca="true" t="shared" si="295" ref="BA138:BK138">($G$138/12)*P138</f>
        <v>0</v>
      </c>
      <c r="BB138" s="23">
        <f t="shared" si="295"/>
        <v>0</v>
      </c>
      <c r="BC138" s="23">
        <f t="shared" si="295"/>
        <v>874.9999999999999</v>
      </c>
      <c r="BD138" s="23">
        <f t="shared" si="295"/>
        <v>874.9999999999999</v>
      </c>
      <c r="BE138" s="23">
        <f t="shared" si="295"/>
        <v>874.9999999999999</v>
      </c>
      <c r="BF138" s="23">
        <f t="shared" si="295"/>
        <v>874.9999999999999</v>
      </c>
      <c r="BG138" s="23">
        <f t="shared" si="295"/>
        <v>874.9999999999999</v>
      </c>
      <c r="BH138" s="23">
        <f t="shared" si="295"/>
        <v>874.9999999999999</v>
      </c>
      <c r="BI138" s="23">
        <f t="shared" si="295"/>
        <v>874.9999999999999</v>
      </c>
      <c r="BJ138" s="23">
        <f t="shared" si="295"/>
        <v>874.9999999999999</v>
      </c>
      <c r="BK138" s="23">
        <f t="shared" si="295"/>
        <v>874.9999999999999</v>
      </c>
      <c r="BL138" s="23">
        <f>($H$138/12)*AA138</f>
        <v>1802.4999999999998</v>
      </c>
      <c r="BM138" s="23">
        <f aca="true" t="shared" si="296" ref="BM138:BW138">($H$138/12)*AB138</f>
        <v>1802.4999999999998</v>
      </c>
      <c r="BN138" s="23">
        <f t="shared" si="296"/>
        <v>1802.4999999999998</v>
      </c>
      <c r="BO138" s="23">
        <f t="shared" si="296"/>
        <v>1802.4999999999998</v>
      </c>
      <c r="BP138" s="23">
        <f t="shared" si="296"/>
        <v>1802.4999999999998</v>
      </c>
      <c r="BQ138" s="23">
        <f t="shared" si="296"/>
        <v>1802.4999999999998</v>
      </c>
      <c r="BR138" s="23">
        <f t="shared" si="296"/>
        <v>1802.4999999999998</v>
      </c>
      <c r="BS138" s="23">
        <f t="shared" si="296"/>
        <v>1802.4999999999998</v>
      </c>
      <c r="BT138" s="23">
        <f t="shared" si="296"/>
        <v>1802.4999999999998</v>
      </c>
      <c r="BU138" s="23">
        <f t="shared" si="296"/>
        <v>1802.4999999999998</v>
      </c>
      <c r="BV138" s="23">
        <f t="shared" si="296"/>
        <v>1802.4999999999998</v>
      </c>
      <c r="BW138" s="23">
        <f t="shared" si="296"/>
        <v>1802.4999999999998</v>
      </c>
      <c r="BX138" s="23">
        <f>($I$138/12)*AM138</f>
        <v>3094.2916666666665</v>
      </c>
      <c r="BY138" s="23">
        <f aca="true" t="shared" si="297" ref="BY138:CI138">($I$138/12)*AN138</f>
        <v>3094.2916666666665</v>
      </c>
      <c r="BZ138" s="23">
        <f t="shared" si="297"/>
        <v>3094.2916666666665</v>
      </c>
      <c r="CA138" s="23">
        <f t="shared" si="297"/>
        <v>3094.2916666666665</v>
      </c>
      <c r="CB138" s="23">
        <f t="shared" si="297"/>
        <v>3094.2916666666665</v>
      </c>
      <c r="CC138" s="23">
        <f t="shared" si="297"/>
        <v>3094.2916666666665</v>
      </c>
      <c r="CD138" s="23">
        <f t="shared" si="297"/>
        <v>3094.2916666666665</v>
      </c>
      <c r="CE138" s="23">
        <f t="shared" si="297"/>
        <v>3094.2916666666665</v>
      </c>
      <c r="CF138" s="23">
        <f t="shared" si="297"/>
        <v>3094.2916666666665</v>
      </c>
      <c r="CG138" s="23">
        <f t="shared" si="297"/>
        <v>3094.2916666666665</v>
      </c>
      <c r="CH138" s="23">
        <f t="shared" si="297"/>
        <v>3094.2916666666665</v>
      </c>
      <c r="CI138" s="112">
        <f t="shared" si="297"/>
        <v>3094.2916666666665</v>
      </c>
      <c r="CJ138" s="23"/>
      <c r="CK138" s="23"/>
      <c r="CL138" s="23"/>
      <c r="CM138" s="23"/>
      <c r="CN138" s="23"/>
      <c r="CO138" s="23"/>
      <c r="CP138" s="23"/>
      <c r="CQ138" s="23"/>
      <c r="CR138" s="23"/>
      <c r="CS138" s="23"/>
      <c r="CT138" s="23"/>
      <c r="CU138" s="23"/>
      <c r="CV138" s="23"/>
      <c r="CW138" s="23"/>
      <c r="CX138" s="23"/>
      <c r="CY138" s="23"/>
      <c r="CZ138" s="23"/>
      <c r="DA138" s="23"/>
      <c r="DB138" s="23"/>
      <c r="DC138" s="23"/>
      <c r="DD138" s="23"/>
      <c r="DE138" s="23"/>
      <c r="DF138" s="23"/>
      <c r="DG138" s="23"/>
      <c r="DH138" s="23"/>
      <c r="DI138" s="23"/>
      <c r="DJ138" s="23"/>
    </row>
    <row r="139" spans="1:114" s="26" customFormat="1" ht="12.75" customHeight="1">
      <c r="A139" s="211" t="s">
        <v>267</v>
      </c>
      <c r="B139" s="234">
        <v>0.3</v>
      </c>
      <c r="C139" s="235">
        <v>0.3</v>
      </c>
      <c r="D139" s="235">
        <v>0.3</v>
      </c>
      <c r="E139" s="246"/>
      <c r="F139" s="212">
        <f>F99</f>
        <v>40000</v>
      </c>
      <c r="G139" s="23">
        <f>F139</f>
        <v>40000</v>
      </c>
      <c r="H139" s="23">
        <f>G139*(1+C5)</f>
        <v>41200</v>
      </c>
      <c r="I139" s="23">
        <f>H139*(1+D5)</f>
        <v>42436</v>
      </c>
      <c r="J139" s="246"/>
      <c r="K139" s="158">
        <f>SUM(AZ139:BK139)</f>
        <v>9000</v>
      </c>
      <c r="L139" s="153">
        <f>SUM(BL139:BW139)</f>
        <v>12360</v>
      </c>
      <c r="M139" s="153">
        <f>SUM(BX139:CI139)</f>
        <v>42436</v>
      </c>
      <c r="N139" s="246"/>
      <c r="O139" s="26">
        <v>0</v>
      </c>
      <c r="P139" s="26">
        <v>0</v>
      </c>
      <c r="Q139" s="26">
        <v>0</v>
      </c>
      <c r="R139" s="26">
        <f aca="true" t="shared" si="298" ref="R139:Z139">$B$139</f>
        <v>0.3</v>
      </c>
      <c r="S139" s="26">
        <f t="shared" si="298"/>
        <v>0.3</v>
      </c>
      <c r="T139" s="26">
        <f t="shared" si="298"/>
        <v>0.3</v>
      </c>
      <c r="U139" s="26">
        <f t="shared" si="298"/>
        <v>0.3</v>
      </c>
      <c r="V139" s="26">
        <f t="shared" si="298"/>
        <v>0.3</v>
      </c>
      <c r="W139" s="26">
        <f t="shared" si="298"/>
        <v>0.3</v>
      </c>
      <c r="X139" s="26">
        <f t="shared" si="298"/>
        <v>0.3</v>
      </c>
      <c r="Y139" s="26">
        <f t="shared" si="298"/>
        <v>0.3</v>
      </c>
      <c r="Z139" s="26">
        <f t="shared" si="298"/>
        <v>0.3</v>
      </c>
      <c r="AA139" s="26">
        <f>$C$139</f>
        <v>0.3</v>
      </c>
      <c r="AB139" s="26">
        <f aca="true" t="shared" si="299" ref="AB139:AL139">$C$139</f>
        <v>0.3</v>
      </c>
      <c r="AC139" s="26">
        <f t="shared" si="299"/>
        <v>0.3</v>
      </c>
      <c r="AD139" s="26">
        <f t="shared" si="299"/>
        <v>0.3</v>
      </c>
      <c r="AE139" s="26">
        <f t="shared" si="299"/>
        <v>0.3</v>
      </c>
      <c r="AF139" s="26">
        <f t="shared" si="299"/>
        <v>0.3</v>
      </c>
      <c r="AG139" s="26">
        <f t="shared" si="299"/>
        <v>0.3</v>
      </c>
      <c r="AH139" s="26">
        <f t="shared" si="299"/>
        <v>0.3</v>
      </c>
      <c r="AI139" s="26">
        <f t="shared" si="299"/>
        <v>0.3</v>
      </c>
      <c r="AJ139" s="26">
        <f t="shared" si="299"/>
        <v>0.3</v>
      </c>
      <c r="AK139" s="26">
        <f t="shared" si="299"/>
        <v>0.3</v>
      </c>
      <c r="AL139" s="26">
        <f t="shared" si="299"/>
        <v>0.3</v>
      </c>
      <c r="AM139" s="26">
        <f>$D$138</f>
        <v>1</v>
      </c>
      <c r="AN139" s="26">
        <f t="shared" si="294"/>
        <v>1</v>
      </c>
      <c r="AO139" s="26">
        <f t="shared" si="294"/>
        <v>1</v>
      </c>
      <c r="AP139" s="26">
        <f t="shared" si="294"/>
        <v>1</v>
      </c>
      <c r="AQ139" s="26">
        <f t="shared" si="294"/>
        <v>1</v>
      </c>
      <c r="AR139" s="26">
        <f t="shared" si="294"/>
        <v>1</v>
      </c>
      <c r="AS139" s="26">
        <f t="shared" si="294"/>
        <v>1</v>
      </c>
      <c r="AT139" s="26">
        <f t="shared" si="294"/>
        <v>1</v>
      </c>
      <c r="AU139" s="26">
        <f t="shared" si="294"/>
        <v>1</v>
      </c>
      <c r="AV139" s="26">
        <f t="shared" si="294"/>
        <v>1</v>
      </c>
      <c r="AW139" s="26">
        <f t="shared" si="294"/>
        <v>1</v>
      </c>
      <c r="AX139" s="26">
        <f t="shared" si="294"/>
        <v>1</v>
      </c>
      <c r="AZ139" s="23">
        <f>($G$139/12)*O139</f>
        <v>0</v>
      </c>
      <c r="BA139" s="23">
        <f aca="true" t="shared" si="300" ref="BA139:BK139">($G$139/12)*P139</f>
        <v>0</v>
      </c>
      <c r="BB139" s="23">
        <f t="shared" si="300"/>
        <v>0</v>
      </c>
      <c r="BC139" s="23">
        <f t="shared" si="300"/>
        <v>1000</v>
      </c>
      <c r="BD139" s="23">
        <f t="shared" si="300"/>
        <v>1000</v>
      </c>
      <c r="BE139" s="23">
        <f t="shared" si="300"/>
        <v>1000</v>
      </c>
      <c r="BF139" s="23">
        <f t="shared" si="300"/>
        <v>1000</v>
      </c>
      <c r="BG139" s="23">
        <f t="shared" si="300"/>
        <v>1000</v>
      </c>
      <c r="BH139" s="23">
        <f t="shared" si="300"/>
        <v>1000</v>
      </c>
      <c r="BI139" s="23">
        <f t="shared" si="300"/>
        <v>1000</v>
      </c>
      <c r="BJ139" s="23">
        <f t="shared" si="300"/>
        <v>1000</v>
      </c>
      <c r="BK139" s="23">
        <f t="shared" si="300"/>
        <v>1000</v>
      </c>
      <c r="BL139" s="23">
        <f>($H$139/12)*AA139</f>
        <v>1030</v>
      </c>
      <c r="BM139" s="23">
        <f aca="true" t="shared" si="301" ref="BM139:BW139">($H$139/12)*AB139</f>
        <v>1030</v>
      </c>
      <c r="BN139" s="23">
        <f t="shared" si="301"/>
        <v>1030</v>
      </c>
      <c r="BO139" s="23">
        <f t="shared" si="301"/>
        <v>1030</v>
      </c>
      <c r="BP139" s="23">
        <f t="shared" si="301"/>
        <v>1030</v>
      </c>
      <c r="BQ139" s="23">
        <f t="shared" si="301"/>
        <v>1030</v>
      </c>
      <c r="BR139" s="23">
        <f t="shared" si="301"/>
        <v>1030</v>
      </c>
      <c r="BS139" s="23">
        <f t="shared" si="301"/>
        <v>1030</v>
      </c>
      <c r="BT139" s="23">
        <f t="shared" si="301"/>
        <v>1030</v>
      </c>
      <c r="BU139" s="23">
        <f t="shared" si="301"/>
        <v>1030</v>
      </c>
      <c r="BV139" s="23">
        <f t="shared" si="301"/>
        <v>1030</v>
      </c>
      <c r="BW139" s="23">
        <f t="shared" si="301"/>
        <v>1030</v>
      </c>
      <c r="BX139" s="23">
        <f>($I$139/12)*AM139</f>
        <v>3536.3333333333335</v>
      </c>
      <c r="BY139" s="23">
        <f aca="true" t="shared" si="302" ref="BY139:CI139">($I$139/12)*AN139</f>
        <v>3536.3333333333335</v>
      </c>
      <c r="BZ139" s="23">
        <f t="shared" si="302"/>
        <v>3536.3333333333335</v>
      </c>
      <c r="CA139" s="23">
        <f t="shared" si="302"/>
        <v>3536.3333333333335</v>
      </c>
      <c r="CB139" s="23">
        <f t="shared" si="302"/>
        <v>3536.3333333333335</v>
      </c>
      <c r="CC139" s="23">
        <f t="shared" si="302"/>
        <v>3536.3333333333335</v>
      </c>
      <c r="CD139" s="23">
        <f t="shared" si="302"/>
        <v>3536.3333333333335</v>
      </c>
      <c r="CE139" s="23">
        <f t="shared" si="302"/>
        <v>3536.3333333333335</v>
      </c>
      <c r="CF139" s="23">
        <f t="shared" si="302"/>
        <v>3536.3333333333335</v>
      </c>
      <c r="CG139" s="23">
        <f t="shared" si="302"/>
        <v>3536.3333333333335</v>
      </c>
      <c r="CH139" s="23">
        <f t="shared" si="302"/>
        <v>3536.3333333333335</v>
      </c>
      <c r="CI139" s="112">
        <f t="shared" si="302"/>
        <v>3536.3333333333335</v>
      </c>
      <c r="CJ139" s="23"/>
      <c r="CK139" s="23"/>
      <c r="CL139" s="23"/>
      <c r="CM139" s="23"/>
      <c r="CN139" s="23"/>
      <c r="CO139" s="23"/>
      <c r="CP139" s="23"/>
      <c r="CQ139" s="23"/>
      <c r="CR139" s="23"/>
      <c r="CS139" s="23"/>
      <c r="CT139" s="23"/>
      <c r="CU139" s="23"/>
      <c r="CV139" s="23"/>
      <c r="CW139" s="23"/>
      <c r="CX139" s="23"/>
      <c r="CY139" s="23"/>
      <c r="CZ139" s="23"/>
      <c r="DA139" s="23"/>
      <c r="DB139" s="23"/>
      <c r="DC139" s="23"/>
      <c r="DD139" s="23"/>
      <c r="DE139" s="23"/>
      <c r="DF139" s="23"/>
      <c r="DG139" s="23"/>
      <c r="DH139" s="23"/>
      <c r="DI139" s="23"/>
      <c r="DJ139" s="23"/>
    </row>
    <row r="140" spans="1:114" s="240" customFormat="1" ht="12.75" customHeight="1">
      <c r="A140" s="241" t="s">
        <v>195</v>
      </c>
      <c r="B140" s="241">
        <f>SUM(B137:B139)</f>
        <v>1.6</v>
      </c>
      <c r="C140" s="240">
        <f>SUM(C137:C139)</f>
        <v>2.9</v>
      </c>
      <c r="D140" s="240">
        <f>SUM(D137:D139)</f>
        <v>4.3</v>
      </c>
      <c r="E140" s="247"/>
      <c r="F140" s="242"/>
      <c r="G140" s="243"/>
      <c r="H140" s="243"/>
      <c r="I140" s="243"/>
      <c r="J140" s="247"/>
      <c r="K140" s="244">
        <f>SUM(K137:K138)</f>
        <v>41208.33333333333</v>
      </c>
      <c r="L140" s="245">
        <f>SUM(L137:L138)</f>
        <v>104030</v>
      </c>
      <c r="M140" s="245">
        <f>SUM(M137:M138)</f>
        <v>164439.5</v>
      </c>
      <c r="N140" s="247"/>
      <c r="O140" s="240">
        <f aca="true" t="shared" si="303" ref="O140:AX140">SUM(O137:O138)</f>
        <v>0</v>
      </c>
      <c r="P140" s="240">
        <f t="shared" si="303"/>
        <v>0</v>
      </c>
      <c r="Q140" s="240">
        <f t="shared" si="303"/>
        <v>1</v>
      </c>
      <c r="R140" s="240">
        <f t="shared" si="303"/>
        <v>1.3</v>
      </c>
      <c r="S140" s="240">
        <f t="shared" si="303"/>
        <v>1.3</v>
      </c>
      <c r="T140" s="240">
        <f t="shared" si="303"/>
        <v>1.3</v>
      </c>
      <c r="U140" s="240">
        <f t="shared" si="303"/>
        <v>1.3</v>
      </c>
      <c r="V140" s="240">
        <f t="shared" si="303"/>
        <v>1.3</v>
      </c>
      <c r="W140" s="240">
        <f t="shared" si="303"/>
        <v>1.3</v>
      </c>
      <c r="X140" s="240">
        <f t="shared" si="303"/>
        <v>1.3</v>
      </c>
      <c r="Y140" s="240">
        <f t="shared" si="303"/>
        <v>1.3</v>
      </c>
      <c r="Z140" s="240">
        <f t="shared" si="303"/>
        <v>1.3</v>
      </c>
      <c r="AA140" s="240">
        <f t="shared" si="303"/>
        <v>2.6</v>
      </c>
      <c r="AB140" s="240">
        <f t="shared" si="303"/>
        <v>2.6</v>
      </c>
      <c r="AC140" s="240">
        <f t="shared" si="303"/>
        <v>2.6</v>
      </c>
      <c r="AD140" s="240">
        <f t="shared" si="303"/>
        <v>2.6</v>
      </c>
      <c r="AE140" s="240">
        <f t="shared" si="303"/>
        <v>2.6</v>
      </c>
      <c r="AF140" s="240">
        <f t="shared" si="303"/>
        <v>2.6</v>
      </c>
      <c r="AG140" s="240">
        <f t="shared" si="303"/>
        <v>2.6</v>
      </c>
      <c r="AH140" s="240">
        <f t="shared" si="303"/>
        <v>2.6</v>
      </c>
      <c r="AI140" s="240">
        <f t="shared" si="303"/>
        <v>2.6</v>
      </c>
      <c r="AJ140" s="240">
        <f t="shared" si="303"/>
        <v>2.6</v>
      </c>
      <c r="AK140" s="240">
        <f t="shared" si="303"/>
        <v>2.6</v>
      </c>
      <c r="AL140" s="240">
        <f t="shared" si="303"/>
        <v>2.6</v>
      </c>
      <c r="AM140" s="240">
        <f t="shared" si="303"/>
        <v>4</v>
      </c>
      <c r="AN140" s="240">
        <f t="shared" si="303"/>
        <v>4</v>
      </c>
      <c r="AO140" s="240">
        <f t="shared" si="303"/>
        <v>4</v>
      </c>
      <c r="AP140" s="240">
        <f t="shared" si="303"/>
        <v>4</v>
      </c>
      <c r="AQ140" s="240">
        <f t="shared" si="303"/>
        <v>4</v>
      </c>
      <c r="AR140" s="240">
        <f t="shared" si="303"/>
        <v>4</v>
      </c>
      <c r="AS140" s="240">
        <f t="shared" si="303"/>
        <v>4</v>
      </c>
      <c r="AT140" s="240">
        <f t="shared" si="303"/>
        <v>4</v>
      </c>
      <c r="AU140" s="240">
        <f t="shared" si="303"/>
        <v>4</v>
      </c>
      <c r="AV140" s="240">
        <f t="shared" si="303"/>
        <v>4</v>
      </c>
      <c r="AW140" s="240">
        <f t="shared" si="303"/>
        <v>4</v>
      </c>
      <c r="AX140" s="240">
        <f t="shared" si="303"/>
        <v>4</v>
      </c>
      <c r="AZ140" s="243">
        <f aca="true" t="shared" si="304" ref="AZ140:CI140">SUM(AZ137:AZ138)</f>
        <v>0</v>
      </c>
      <c r="BA140" s="243">
        <f t="shared" si="304"/>
        <v>0</v>
      </c>
      <c r="BB140" s="243">
        <f t="shared" si="304"/>
        <v>3333.3333333333335</v>
      </c>
      <c r="BC140" s="243">
        <f t="shared" si="304"/>
        <v>4208.333333333333</v>
      </c>
      <c r="BD140" s="243">
        <f t="shared" si="304"/>
        <v>4208.333333333333</v>
      </c>
      <c r="BE140" s="243">
        <f t="shared" si="304"/>
        <v>4208.333333333333</v>
      </c>
      <c r="BF140" s="243">
        <f t="shared" si="304"/>
        <v>4208.333333333333</v>
      </c>
      <c r="BG140" s="243">
        <f t="shared" si="304"/>
        <v>4208.333333333333</v>
      </c>
      <c r="BH140" s="243">
        <f t="shared" si="304"/>
        <v>4208.333333333333</v>
      </c>
      <c r="BI140" s="243">
        <f t="shared" si="304"/>
        <v>4208.333333333333</v>
      </c>
      <c r="BJ140" s="243">
        <f t="shared" si="304"/>
        <v>4208.333333333333</v>
      </c>
      <c r="BK140" s="243">
        <f t="shared" si="304"/>
        <v>4208.333333333333</v>
      </c>
      <c r="BL140" s="243">
        <f t="shared" si="304"/>
        <v>8669.166666666666</v>
      </c>
      <c r="BM140" s="243">
        <f t="shared" si="304"/>
        <v>8669.166666666666</v>
      </c>
      <c r="BN140" s="243">
        <f t="shared" si="304"/>
        <v>8669.166666666666</v>
      </c>
      <c r="BO140" s="243">
        <f t="shared" si="304"/>
        <v>8669.166666666666</v>
      </c>
      <c r="BP140" s="243">
        <f t="shared" si="304"/>
        <v>8669.166666666666</v>
      </c>
      <c r="BQ140" s="243">
        <f t="shared" si="304"/>
        <v>8669.166666666666</v>
      </c>
      <c r="BR140" s="243">
        <f t="shared" si="304"/>
        <v>8669.166666666666</v>
      </c>
      <c r="BS140" s="243">
        <f t="shared" si="304"/>
        <v>8669.166666666666</v>
      </c>
      <c r="BT140" s="243">
        <f t="shared" si="304"/>
        <v>8669.166666666666</v>
      </c>
      <c r="BU140" s="243">
        <f t="shared" si="304"/>
        <v>8669.166666666666</v>
      </c>
      <c r="BV140" s="243">
        <f t="shared" si="304"/>
        <v>8669.166666666666</v>
      </c>
      <c r="BW140" s="243">
        <f t="shared" si="304"/>
        <v>8669.166666666666</v>
      </c>
      <c r="BX140" s="243">
        <f t="shared" si="304"/>
        <v>13703.291666666666</v>
      </c>
      <c r="BY140" s="243">
        <f t="shared" si="304"/>
        <v>13703.291666666666</v>
      </c>
      <c r="BZ140" s="243">
        <f t="shared" si="304"/>
        <v>13703.291666666666</v>
      </c>
      <c r="CA140" s="243">
        <f t="shared" si="304"/>
        <v>13703.291666666666</v>
      </c>
      <c r="CB140" s="243">
        <f t="shared" si="304"/>
        <v>13703.291666666666</v>
      </c>
      <c r="CC140" s="243">
        <f t="shared" si="304"/>
        <v>13703.291666666666</v>
      </c>
      <c r="CD140" s="243">
        <f t="shared" si="304"/>
        <v>13703.291666666666</v>
      </c>
      <c r="CE140" s="243">
        <f t="shared" si="304"/>
        <v>13703.291666666666</v>
      </c>
      <c r="CF140" s="243">
        <f t="shared" si="304"/>
        <v>13703.291666666666</v>
      </c>
      <c r="CG140" s="243">
        <f t="shared" si="304"/>
        <v>13703.291666666666</v>
      </c>
      <c r="CH140" s="243">
        <f t="shared" si="304"/>
        <v>13703.291666666666</v>
      </c>
      <c r="CI140" s="272">
        <f t="shared" si="304"/>
        <v>13703.291666666666</v>
      </c>
      <c r="CJ140" s="243"/>
      <c r="CK140" s="243"/>
      <c r="CL140" s="243"/>
      <c r="CM140" s="243"/>
      <c r="CN140" s="243"/>
      <c r="CO140" s="243"/>
      <c r="CP140" s="243"/>
      <c r="CQ140" s="243"/>
      <c r="CR140" s="243"/>
      <c r="CS140" s="243"/>
      <c r="CT140" s="243"/>
      <c r="CU140" s="243"/>
      <c r="CV140" s="243"/>
      <c r="CW140" s="243"/>
      <c r="CX140" s="243"/>
      <c r="CY140" s="243"/>
      <c r="CZ140" s="243"/>
      <c r="DA140" s="243"/>
      <c r="DB140" s="243"/>
      <c r="DC140" s="243"/>
      <c r="DD140" s="243"/>
      <c r="DE140" s="243"/>
      <c r="DF140" s="243"/>
      <c r="DG140" s="243"/>
      <c r="DH140" s="243"/>
      <c r="DI140" s="243"/>
      <c r="DJ140" s="243"/>
    </row>
    <row r="141" spans="1:114" s="26" customFormat="1" ht="12.75" customHeight="1">
      <c r="A141" s="211" t="s">
        <v>407</v>
      </c>
      <c r="B141" s="32"/>
      <c r="E141" s="246"/>
      <c r="F141" s="111"/>
      <c r="G141" s="23"/>
      <c r="H141" s="23"/>
      <c r="I141" s="23"/>
      <c r="J141" s="246"/>
      <c r="K141" s="158">
        <f>K140*B6</f>
        <v>10302.083333333332</v>
      </c>
      <c r="L141" s="153">
        <f>L140*C6</f>
        <v>26007.5</v>
      </c>
      <c r="M141" s="153">
        <f>M140*D6</f>
        <v>41109.875</v>
      </c>
      <c r="N141" s="246"/>
      <c r="AZ141" s="23">
        <f>AZ140*$B$6</f>
        <v>0</v>
      </c>
      <c r="BA141" s="23">
        <f aca="true" t="shared" si="305" ref="BA141:BK141">BA140*$B$6</f>
        <v>0</v>
      </c>
      <c r="BB141" s="23">
        <f t="shared" si="305"/>
        <v>833.3333333333334</v>
      </c>
      <c r="BC141" s="23">
        <f t="shared" si="305"/>
        <v>1052.0833333333333</v>
      </c>
      <c r="BD141" s="23">
        <f t="shared" si="305"/>
        <v>1052.0833333333333</v>
      </c>
      <c r="BE141" s="23">
        <f t="shared" si="305"/>
        <v>1052.0833333333333</v>
      </c>
      <c r="BF141" s="23">
        <f t="shared" si="305"/>
        <v>1052.0833333333333</v>
      </c>
      <c r="BG141" s="23">
        <f t="shared" si="305"/>
        <v>1052.0833333333333</v>
      </c>
      <c r="BH141" s="23">
        <f t="shared" si="305"/>
        <v>1052.0833333333333</v>
      </c>
      <c r="BI141" s="23">
        <f t="shared" si="305"/>
        <v>1052.0833333333333</v>
      </c>
      <c r="BJ141" s="23">
        <f t="shared" si="305"/>
        <v>1052.0833333333333</v>
      </c>
      <c r="BK141" s="23">
        <f t="shared" si="305"/>
        <v>1052.0833333333333</v>
      </c>
      <c r="BL141" s="23">
        <f>BL140*$C$6</f>
        <v>2167.2916666666665</v>
      </c>
      <c r="BM141" s="23">
        <f aca="true" t="shared" si="306" ref="BM141:BW141">BM140*$C$6</f>
        <v>2167.2916666666665</v>
      </c>
      <c r="BN141" s="23">
        <f t="shared" si="306"/>
        <v>2167.2916666666665</v>
      </c>
      <c r="BO141" s="23">
        <f t="shared" si="306"/>
        <v>2167.2916666666665</v>
      </c>
      <c r="BP141" s="23">
        <f t="shared" si="306"/>
        <v>2167.2916666666665</v>
      </c>
      <c r="BQ141" s="23">
        <f t="shared" si="306"/>
        <v>2167.2916666666665</v>
      </c>
      <c r="BR141" s="23">
        <f t="shared" si="306"/>
        <v>2167.2916666666665</v>
      </c>
      <c r="BS141" s="23">
        <f t="shared" si="306"/>
        <v>2167.2916666666665</v>
      </c>
      <c r="BT141" s="23">
        <f t="shared" si="306"/>
        <v>2167.2916666666665</v>
      </c>
      <c r="BU141" s="23">
        <f t="shared" si="306"/>
        <v>2167.2916666666665</v>
      </c>
      <c r="BV141" s="23">
        <f t="shared" si="306"/>
        <v>2167.2916666666665</v>
      </c>
      <c r="BW141" s="23">
        <f t="shared" si="306"/>
        <v>2167.2916666666665</v>
      </c>
      <c r="BX141" s="23">
        <f>BX140*$D$6</f>
        <v>3425.8229166666665</v>
      </c>
      <c r="BY141" s="23">
        <f aca="true" t="shared" si="307" ref="BY141:CI141">BY140*$D$6</f>
        <v>3425.8229166666665</v>
      </c>
      <c r="BZ141" s="23">
        <f t="shared" si="307"/>
        <v>3425.8229166666665</v>
      </c>
      <c r="CA141" s="23">
        <f t="shared" si="307"/>
        <v>3425.8229166666665</v>
      </c>
      <c r="CB141" s="23">
        <f t="shared" si="307"/>
        <v>3425.8229166666665</v>
      </c>
      <c r="CC141" s="23">
        <f t="shared" si="307"/>
        <v>3425.8229166666665</v>
      </c>
      <c r="CD141" s="23">
        <f t="shared" si="307"/>
        <v>3425.8229166666665</v>
      </c>
      <c r="CE141" s="23">
        <f t="shared" si="307"/>
        <v>3425.8229166666665</v>
      </c>
      <c r="CF141" s="23">
        <f t="shared" si="307"/>
        <v>3425.8229166666665</v>
      </c>
      <c r="CG141" s="23">
        <f t="shared" si="307"/>
        <v>3425.8229166666665</v>
      </c>
      <c r="CH141" s="23">
        <f t="shared" si="307"/>
        <v>3425.8229166666665</v>
      </c>
      <c r="CI141" s="112">
        <f t="shared" si="307"/>
        <v>3425.8229166666665</v>
      </c>
      <c r="CJ141" s="23"/>
      <c r="CK141" s="23"/>
      <c r="CL141" s="23"/>
      <c r="CM141" s="23"/>
      <c r="CN141" s="23"/>
      <c r="CO141" s="23"/>
      <c r="CP141" s="23"/>
      <c r="CQ141" s="23"/>
      <c r="CR141" s="23"/>
      <c r="CS141" s="23"/>
      <c r="CT141" s="23"/>
      <c r="CU141" s="23"/>
      <c r="CV141" s="23"/>
      <c r="CW141" s="23"/>
      <c r="CX141" s="23"/>
      <c r="CY141" s="23"/>
      <c r="CZ141" s="23"/>
      <c r="DA141" s="23"/>
      <c r="DB141" s="23"/>
      <c r="DC141" s="23"/>
      <c r="DD141" s="23"/>
      <c r="DE141" s="23"/>
      <c r="DF141" s="23"/>
      <c r="DG141" s="23"/>
      <c r="DH141" s="23"/>
      <c r="DI141" s="23"/>
      <c r="DJ141" s="23"/>
    </row>
    <row r="142" spans="1:114" s="26" customFormat="1" ht="12.75" customHeight="1">
      <c r="A142" s="211" t="s">
        <v>150</v>
      </c>
      <c r="B142" s="32"/>
      <c r="E142" s="246"/>
      <c r="F142" s="111"/>
      <c r="G142" s="23"/>
      <c r="H142" s="23"/>
      <c r="I142" s="23"/>
      <c r="J142" s="246"/>
      <c r="K142" s="158">
        <f>K140+K141</f>
        <v>51510.41666666666</v>
      </c>
      <c r="L142" s="153">
        <f>L140+L141</f>
        <v>130037.5</v>
      </c>
      <c r="M142" s="153">
        <f>M140+M141</f>
        <v>205549.375</v>
      </c>
      <c r="N142" s="246"/>
      <c r="AZ142" s="23">
        <f>AZ140+AZ141</f>
        <v>0</v>
      </c>
      <c r="BA142" s="23">
        <f aca="true" t="shared" si="308" ref="BA142:CI142">BA140+BA141</f>
        <v>0</v>
      </c>
      <c r="BB142" s="23">
        <f t="shared" si="308"/>
        <v>4166.666666666667</v>
      </c>
      <c r="BC142" s="23">
        <f t="shared" si="308"/>
        <v>5260.416666666666</v>
      </c>
      <c r="BD142" s="23">
        <f t="shared" si="308"/>
        <v>5260.416666666666</v>
      </c>
      <c r="BE142" s="23">
        <f t="shared" si="308"/>
        <v>5260.416666666666</v>
      </c>
      <c r="BF142" s="23">
        <f t="shared" si="308"/>
        <v>5260.416666666666</v>
      </c>
      <c r="BG142" s="23">
        <f t="shared" si="308"/>
        <v>5260.416666666666</v>
      </c>
      <c r="BH142" s="23">
        <f t="shared" si="308"/>
        <v>5260.416666666666</v>
      </c>
      <c r="BI142" s="23">
        <f t="shared" si="308"/>
        <v>5260.416666666666</v>
      </c>
      <c r="BJ142" s="23">
        <f t="shared" si="308"/>
        <v>5260.416666666666</v>
      </c>
      <c r="BK142" s="23">
        <f t="shared" si="308"/>
        <v>5260.416666666666</v>
      </c>
      <c r="BL142" s="23">
        <f t="shared" si="308"/>
        <v>10836.458333333332</v>
      </c>
      <c r="BM142" s="23">
        <f t="shared" si="308"/>
        <v>10836.458333333332</v>
      </c>
      <c r="BN142" s="23">
        <f t="shared" si="308"/>
        <v>10836.458333333332</v>
      </c>
      <c r="BO142" s="23">
        <f t="shared" si="308"/>
        <v>10836.458333333332</v>
      </c>
      <c r="BP142" s="23">
        <f t="shared" si="308"/>
        <v>10836.458333333332</v>
      </c>
      <c r="BQ142" s="23">
        <f t="shared" si="308"/>
        <v>10836.458333333332</v>
      </c>
      <c r="BR142" s="23">
        <f t="shared" si="308"/>
        <v>10836.458333333332</v>
      </c>
      <c r="BS142" s="23">
        <f t="shared" si="308"/>
        <v>10836.458333333332</v>
      </c>
      <c r="BT142" s="23">
        <f t="shared" si="308"/>
        <v>10836.458333333332</v>
      </c>
      <c r="BU142" s="23">
        <f t="shared" si="308"/>
        <v>10836.458333333332</v>
      </c>
      <c r="BV142" s="23">
        <f t="shared" si="308"/>
        <v>10836.458333333332</v>
      </c>
      <c r="BW142" s="23">
        <f t="shared" si="308"/>
        <v>10836.458333333332</v>
      </c>
      <c r="BX142" s="23">
        <f t="shared" si="308"/>
        <v>17129.114583333332</v>
      </c>
      <c r="BY142" s="23">
        <f t="shared" si="308"/>
        <v>17129.114583333332</v>
      </c>
      <c r="BZ142" s="23">
        <f t="shared" si="308"/>
        <v>17129.114583333332</v>
      </c>
      <c r="CA142" s="23">
        <f t="shared" si="308"/>
        <v>17129.114583333332</v>
      </c>
      <c r="CB142" s="23">
        <f t="shared" si="308"/>
        <v>17129.114583333332</v>
      </c>
      <c r="CC142" s="23">
        <f t="shared" si="308"/>
        <v>17129.114583333332</v>
      </c>
      <c r="CD142" s="23">
        <f t="shared" si="308"/>
        <v>17129.114583333332</v>
      </c>
      <c r="CE142" s="23">
        <f t="shared" si="308"/>
        <v>17129.114583333332</v>
      </c>
      <c r="CF142" s="23">
        <f t="shared" si="308"/>
        <v>17129.114583333332</v>
      </c>
      <c r="CG142" s="23">
        <f t="shared" si="308"/>
        <v>17129.114583333332</v>
      </c>
      <c r="CH142" s="23">
        <f t="shared" si="308"/>
        <v>17129.114583333332</v>
      </c>
      <c r="CI142" s="112">
        <f t="shared" si="308"/>
        <v>17129.114583333332</v>
      </c>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row>
    <row r="143" spans="1:87" ht="13.5">
      <c r="A143" s="32"/>
      <c r="B143" s="32"/>
      <c r="C143" s="26"/>
      <c r="D143" s="26"/>
      <c r="E143" s="246"/>
      <c r="F143" s="111"/>
      <c r="G143" s="23"/>
      <c r="H143" s="23"/>
      <c r="I143" s="23"/>
      <c r="J143" s="246"/>
      <c r="K143" s="32"/>
      <c r="L143" s="26"/>
      <c r="M143" s="26"/>
      <c r="N143" s="24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3"/>
      <c r="CH143" s="23"/>
      <c r="CI143" s="112"/>
    </row>
    <row r="144" spans="1:87" ht="13.5">
      <c r="A144" s="271" t="s">
        <v>13</v>
      </c>
      <c r="B144" s="32"/>
      <c r="C144" s="26"/>
      <c r="D144" s="26"/>
      <c r="E144" s="246"/>
      <c r="F144" s="111"/>
      <c r="G144" s="23"/>
      <c r="H144" s="23"/>
      <c r="I144" s="23"/>
      <c r="J144" s="246"/>
      <c r="K144" s="32"/>
      <c r="L144" s="26"/>
      <c r="M144" s="26"/>
      <c r="N144" s="24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3"/>
      <c r="CH144" s="23"/>
      <c r="CI144" s="112"/>
    </row>
    <row r="145" spans="1:87" s="26" customFormat="1" ht="12.75" customHeight="1">
      <c r="A145" s="32" t="s">
        <v>65</v>
      </c>
      <c r="B145" s="234">
        <v>1</v>
      </c>
      <c r="C145" s="235">
        <v>1</v>
      </c>
      <c r="D145" s="235">
        <v>1</v>
      </c>
      <c r="E145" s="246"/>
      <c r="F145" s="212">
        <f>F99</f>
        <v>40000</v>
      </c>
      <c r="G145" s="23">
        <f>F145</f>
        <v>40000</v>
      </c>
      <c r="H145" s="23">
        <f>G145*(1+$C$5)</f>
        <v>41200</v>
      </c>
      <c r="I145" s="23">
        <f>H145*(1+$D$5)</f>
        <v>42436</v>
      </c>
      <c r="J145" s="246"/>
      <c r="K145" s="158">
        <f>SUM(AZ145:BK145)</f>
        <v>33333.33333333333</v>
      </c>
      <c r="L145" s="153">
        <f>SUM(BL145:BW145)</f>
        <v>41200</v>
      </c>
      <c r="M145" s="153">
        <f>SUM(BX145:CI145)</f>
        <v>42436</v>
      </c>
      <c r="N145" s="246"/>
      <c r="O145" s="26">
        <v>0</v>
      </c>
      <c r="P145" s="26">
        <v>0</v>
      </c>
      <c r="Q145" s="26">
        <f aca="true" t="shared" si="309" ref="Q145:Z145">$B$145</f>
        <v>1</v>
      </c>
      <c r="R145" s="26">
        <f t="shared" si="309"/>
        <v>1</v>
      </c>
      <c r="S145" s="26">
        <f t="shared" si="309"/>
        <v>1</v>
      </c>
      <c r="T145" s="26">
        <f t="shared" si="309"/>
        <v>1</v>
      </c>
      <c r="U145" s="26">
        <f t="shared" si="309"/>
        <v>1</v>
      </c>
      <c r="V145" s="26">
        <f t="shared" si="309"/>
        <v>1</v>
      </c>
      <c r="W145" s="26">
        <f t="shared" si="309"/>
        <v>1</v>
      </c>
      <c r="X145" s="26">
        <f t="shared" si="309"/>
        <v>1</v>
      </c>
      <c r="Y145" s="26">
        <f t="shared" si="309"/>
        <v>1</v>
      </c>
      <c r="Z145" s="26">
        <f t="shared" si="309"/>
        <v>1</v>
      </c>
      <c r="AA145" s="26">
        <f>$C$145</f>
        <v>1</v>
      </c>
      <c r="AB145" s="26">
        <f aca="true" t="shared" si="310" ref="AB145:AL145">$C$145</f>
        <v>1</v>
      </c>
      <c r="AC145" s="26">
        <f t="shared" si="310"/>
        <v>1</v>
      </c>
      <c r="AD145" s="26">
        <f t="shared" si="310"/>
        <v>1</v>
      </c>
      <c r="AE145" s="26">
        <f t="shared" si="310"/>
        <v>1</v>
      </c>
      <c r="AF145" s="26">
        <f t="shared" si="310"/>
        <v>1</v>
      </c>
      <c r="AG145" s="26">
        <f t="shared" si="310"/>
        <v>1</v>
      </c>
      <c r="AH145" s="26">
        <f t="shared" si="310"/>
        <v>1</v>
      </c>
      <c r="AI145" s="26">
        <f t="shared" si="310"/>
        <v>1</v>
      </c>
      <c r="AJ145" s="26">
        <f t="shared" si="310"/>
        <v>1</v>
      </c>
      <c r="AK145" s="26">
        <f t="shared" si="310"/>
        <v>1</v>
      </c>
      <c r="AL145" s="26">
        <f t="shared" si="310"/>
        <v>1</v>
      </c>
      <c r="AM145" s="26">
        <f>$D$145</f>
        <v>1</v>
      </c>
      <c r="AN145" s="26">
        <f aca="true" t="shared" si="311" ref="AN145:AX145">$D$145</f>
        <v>1</v>
      </c>
      <c r="AO145" s="26">
        <f t="shared" si="311"/>
        <v>1</v>
      </c>
      <c r="AP145" s="26">
        <f t="shared" si="311"/>
        <v>1</v>
      </c>
      <c r="AQ145" s="26">
        <f t="shared" si="311"/>
        <v>1</v>
      </c>
      <c r="AR145" s="26">
        <f t="shared" si="311"/>
        <v>1</v>
      </c>
      <c r="AS145" s="26">
        <f t="shared" si="311"/>
        <v>1</v>
      </c>
      <c r="AT145" s="26">
        <f t="shared" si="311"/>
        <v>1</v>
      </c>
      <c r="AU145" s="26">
        <f t="shared" si="311"/>
        <v>1</v>
      </c>
      <c r="AV145" s="26">
        <f t="shared" si="311"/>
        <v>1</v>
      </c>
      <c r="AW145" s="26">
        <f t="shared" si="311"/>
        <v>1</v>
      </c>
      <c r="AX145" s="26">
        <f t="shared" si="311"/>
        <v>1</v>
      </c>
      <c r="AZ145" s="23">
        <f>($G$145/12)*O145</f>
        <v>0</v>
      </c>
      <c r="BA145" s="23">
        <f aca="true" t="shared" si="312" ref="BA145:BK145">($G$145/12)*P145</f>
        <v>0</v>
      </c>
      <c r="BB145" s="23">
        <f t="shared" si="312"/>
        <v>3333.3333333333335</v>
      </c>
      <c r="BC145" s="23">
        <f t="shared" si="312"/>
        <v>3333.3333333333335</v>
      </c>
      <c r="BD145" s="23">
        <f t="shared" si="312"/>
        <v>3333.3333333333335</v>
      </c>
      <c r="BE145" s="23">
        <f t="shared" si="312"/>
        <v>3333.3333333333335</v>
      </c>
      <c r="BF145" s="23">
        <f t="shared" si="312"/>
        <v>3333.3333333333335</v>
      </c>
      <c r="BG145" s="23">
        <f t="shared" si="312"/>
        <v>3333.3333333333335</v>
      </c>
      <c r="BH145" s="23">
        <f t="shared" si="312"/>
        <v>3333.3333333333335</v>
      </c>
      <c r="BI145" s="23">
        <f t="shared" si="312"/>
        <v>3333.3333333333335</v>
      </c>
      <c r="BJ145" s="23">
        <f t="shared" si="312"/>
        <v>3333.3333333333335</v>
      </c>
      <c r="BK145" s="23">
        <f t="shared" si="312"/>
        <v>3333.3333333333335</v>
      </c>
      <c r="BL145" s="23">
        <f>($H$145/12)*AA145</f>
        <v>3433.3333333333335</v>
      </c>
      <c r="BM145" s="23">
        <f aca="true" t="shared" si="313" ref="BM145:BW145">($H$145/12)*AB145</f>
        <v>3433.3333333333335</v>
      </c>
      <c r="BN145" s="23">
        <f t="shared" si="313"/>
        <v>3433.3333333333335</v>
      </c>
      <c r="BO145" s="23">
        <f t="shared" si="313"/>
        <v>3433.3333333333335</v>
      </c>
      <c r="BP145" s="23">
        <f t="shared" si="313"/>
        <v>3433.3333333333335</v>
      </c>
      <c r="BQ145" s="23">
        <f t="shared" si="313"/>
        <v>3433.3333333333335</v>
      </c>
      <c r="BR145" s="23">
        <f t="shared" si="313"/>
        <v>3433.3333333333335</v>
      </c>
      <c r="BS145" s="23">
        <f t="shared" si="313"/>
        <v>3433.3333333333335</v>
      </c>
      <c r="BT145" s="23">
        <f t="shared" si="313"/>
        <v>3433.3333333333335</v>
      </c>
      <c r="BU145" s="23">
        <f t="shared" si="313"/>
        <v>3433.3333333333335</v>
      </c>
      <c r="BV145" s="23">
        <f t="shared" si="313"/>
        <v>3433.3333333333335</v>
      </c>
      <c r="BW145" s="23">
        <f t="shared" si="313"/>
        <v>3433.3333333333335</v>
      </c>
      <c r="BX145" s="23">
        <f>($I$145/12)*AM145</f>
        <v>3536.3333333333335</v>
      </c>
      <c r="BY145" s="23">
        <f aca="true" t="shared" si="314" ref="BY145:CI145">($I$145/12)*AN145</f>
        <v>3536.3333333333335</v>
      </c>
      <c r="BZ145" s="23">
        <f t="shared" si="314"/>
        <v>3536.3333333333335</v>
      </c>
      <c r="CA145" s="23">
        <f t="shared" si="314"/>
        <v>3536.3333333333335</v>
      </c>
      <c r="CB145" s="23">
        <f t="shared" si="314"/>
        <v>3536.3333333333335</v>
      </c>
      <c r="CC145" s="23">
        <f t="shared" si="314"/>
        <v>3536.3333333333335</v>
      </c>
      <c r="CD145" s="23">
        <f t="shared" si="314"/>
        <v>3536.3333333333335</v>
      </c>
      <c r="CE145" s="23">
        <f t="shared" si="314"/>
        <v>3536.3333333333335</v>
      </c>
      <c r="CF145" s="23">
        <f t="shared" si="314"/>
        <v>3536.3333333333335</v>
      </c>
      <c r="CG145" s="23">
        <f t="shared" si="314"/>
        <v>3536.3333333333335</v>
      </c>
      <c r="CH145" s="23">
        <f t="shared" si="314"/>
        <v>3536.3333333333335</v>
      </c>
      <c r="CI145" s="112">
        <f t="shared" si="314"/>
        <v>3536.3333333333335</v>
      </c>
    </row>
    <row r="146" spans="1:114" s="240" customFormat="1" ht="12.75" customHeight="1">
      <c r="A146" s="241" t="s">
        <v>193</v>
      </c>
      <c r="B146" s="241">
        <f>SUM(B145:B145)</f>
        <v>1</v>
      </c>
      <c r="C146" s="240">
        <f>SUM(C145:C145)</f>
        <v>1</v>
      </c>
      <c r="D146" s="240">
        <f>SUM(D145:D145)</f>
        <v>1</v>
      </c>
      <c r="E146" s="247"/>
      <c r="F146" s="242"/>
      <c r="G146" s="243"/>
      <c r="H146" s="243"/>
      <c r="I146" s="243"/>
      <c r="J146" s="247"/>
      <c r="K146" s="244">
        <f>SUM(K145:K145)</f>
        <v>33333.33333333333</v>
      </c>
      <c r="L146" s="245">
        <f>SUM(L145:L145)</f>
        <v>41200</v>
      </c>
      <c r="M146" s="245">
        <f>SUM(M145:M145)</f>
        <v>42436</v>
      </c>
      <c r="N146" s="247"/>
      <c r="O146" s="240">
        <f aca="true" t="shared" si="315" ref="O146:AX146">SUM(O145:O145)</f>
        <v>0</v>
      </c>
      <c r="P146" s="240">
        <f t="shared" si="315"/>
        <v>0</v>
      </c>
      <c r="Q146" s="240">
        <f t="shared" si="315"/>
        <v>1</v>
      </c>
      <c r="R146" s="240">
        <f t="shared" si="315"/>
        <v>1</v>
      </c>
      <c r="S146" s="240">
        <f t="shared" si="315"/>
        <v>1</v>
      </c>
      <c r="T146" s="240">
        <f t="shared" si="315"/>
        <v>1</v>
      </c>
      <c r="U146" s="240">
        <f t="shared" si="315"/>
        <v>1</v>
      </c>
      <c r="V146" s="240">
        <f t="shared" si="315"/>
        <v>1</v>
      </c>
      <c r="W146" s="240">
        <f t="shared" si="315"/>
        <v>1</v>
      </c>
      <c r="X146" s="240">
        <f t="shared" si="315"/>
        <v>1</v>
      </c>
      <c r="Y146" s="240">
        <f t="shared" si="315"/>
        <v>1</v>
      </c>
      <c r="Z146" s="240">
        <f t="shared" si="315"/>
        <v>1</v>
      </c>
      <c r="AA146" s="240">
        <f t="shared" si="315"/>
        <v>1</v>
      </c>
      <c r="AB146" s="240">
        <f t="shared" si="315"/>
        <v>1</v>
      </c>
      <c r="AC146" s="240">
        <f t="shared" si="315"/>
        <v>1</v>
      </c>
      <c r="AD146" s="240">
        <f t="shared" si="315"/>
        <v>1</v>
      </c>
      <c r="AE146" s="240">
        <f t="shared" si="315"/>
        <v>1</v>
      </c>
      <c r="AF146" s="240">
        <f t="shared" si="315"/>
        <v>1</v>
      </c>
      <c r="AG146" s="240">
        <f t="shared" si="315"/>
        <v>1</v>
      </c>
      <c r="AH146" s="240">
        <f t="shared" si="315"/>
        <v>1</v>
      </c>
      <c r="AI146" s="240">
        <f t="shared" si="315"/>
        <v>1</v>
      </c>
      <c r="AJ146" s="240">
        <f t="shared" si="315"/>
        <v>1</v>
      </c>
      <c r="AK146" s="240">
        <f t="shared" si="315"/>
        <v>1</v>
      </c>
      <c r="AL146" s="240">
        <f t="shared" si="315"/>
        <v>1</v>
      </c>
      <c r="AM146" s="240">
        <f t="shared" si="315"/>
        <v>1</v>
      </c>
      <c r="AN146" s="240">
        <f t="shared" si="315"/>
        <v>1</v>
      </c>
      <c r="AO146" s="240">
        <f t="shared" si="315"/>
        <v>1</v>
      </c>
      <c r="AP146" s="240">
        <f t="shared" si="315"/>
        <v>1</v>
      </c>
      <c r="AQ146" s="240">
        <f t="shared" si="315"/>
        <v>1</v>
      </c>
      <c r="AR146" s="240">
        <f t="shared" si="315"/>
        <v>1</v>
      </c>
      <c r="AS146" s="240">
        <f t="shared" si="315"/>
        <v>1</v>
      </c>
      <c r="AT146" s="240">
        <f t="shared" si="315"/>
        <v>1</v>
      </c>
      <c r="AU146" s="240">
        <f t="shared" si="315"/>
        <v>1</v>
      </c>
      <c r="AV146" s="240">
        <f t="shared" si="315"/>
        <v>1</v>
      </c>
      <c r="AW146" s="240">
        <f t="shared" si="315"/>
        <v>1</v>
      </c>
      <c r="AX146" s="240">
        <f t="shared" si="315"/>
        <v>1</v>
      </c>
      <c r="AZ146" s="243">
        <f aca="true" t="shared" si="316" ref="AZ146:CI146">SUM(AZ145:AZ145)</f>
        <v>0</v>
      </c>
      <c r="BA146" s="243">
        <f t="shared" si="316"/>
        <v>0</v>
      </c>
      <c r="BB146" s="243">
        <f t="shared" si="316"/>
        <v>3333.3333333333335</v>
      </c>
      <c r="BC146" s="243">
        <f t="shared" si="316"/>
        <v>3333.3333333333335</v>
      </c>
      <c r="BD146" s="243">
        <f t="shared" si="316"/>
        <v>3333.3333333333335</v>
      </c>
      <c r="BE146" s="243">
        <f t="shared" si="316"/>
        <v>3333.3333333333335</v>
      </c>
      <c r="BF146" s="243">
        <f t="shared" si="316"/>
        <v>3333.3333333333335</v>
      </c>
      <c r="BG146" s="243">
        <f t="shared" si="316"/>
        <v>3333.3333333333335</v>
      </c>
      <c r="BH146" s="243">
        <f t="shared" si="316"/>
        <v>3333.3333333333335</v>
      </c>
      <c r="BI146" s="243">
        <f t="shared" si="316"/>
        <v>3333.3333333333335</v>
      </c>
      <c r="BJ146" s="243">
        <f t="shared" si="316"/>
        <v>3333.3333333333335</v>
      </c>
      <c r="BK146" s="243">
        <f t="shared" si="316"/>
        <v>3333.3333333333335</v>
      </c>
      <c r="BL146" s="243">
        <f t="shared" si="316"/>
        <v>3433.3333333333335</v>
      </c>
      <c r="BM146" s="243">
        <f t="shared" si="316"/>
        <v>3433.3333333333335</v>
      </c>
      <c r="BN146" s="243">
        <f t="shared" si="316"/>
        <v>3433.3333333333335</v>
      </c>
      <c r="BO146" s="243">
        <f t="shared" si="316"/>
        <v>3433.3333333333335</v>
      </c>
      <c r="BP146" s="243">
        <f t="shared" si="316"/>
        <v>3433.3333333333335</v>
      </c>
      <c r="BQ146" s="243">
        <f t="shared" si="316"/>
        <v>3433.3333333333335</v>
      </c>
      <c r="BR146" s="243">
        <f t="shared" si="316"/>
        <v>3433.3333333333335</v>
      </c>
      <c r="BS146" s="243">
        <f t="shared" si="316"/>
        <v>3433.3333333333335</v>
      </c>
      <c r="BT146" s="243">
        <f t="shared" si="316"/>
        <v>3433.3333333333335</v>
      </c>
      <c r="BU146" s="243">
        <f t="shared" si="316"/>
        <v>3433.3333333333335</v>
      </c>
      <c r="BV146" s="243">
        <f t="shared" si="316"/>
        <v>3433.3333333333335</v>
      </c>
      <c r="BW146" s="243">
        <f t="shared" si="316"/>
        <v>3433.3333333333335</v>
      </c>
      <c r="BX146" s="243">
        <f t="shared" si="316"/>
        <v>3536.3333333333335</v>
      </c>
      <c r="BY146" s="243">
        <f t="shared" si="316"/>
        <v>3536.3333333333335</v>
      </c>
      <c r="BZ146" s="243">
        <f t="shared" si="316"/>
        <v>3536.3333333333335</v>
      </c>
      <c r="CA146" s="243">
        <f t="shared" si="316"/>
        <v>3536.3333333333335</v>
      </c>
      <c r="CB146" s="243">
        <f t="shared" si="316"/>
        <v>3536.3333333333335</v>
      </c>
      <c r="CC146" s="243">
        <f t="shared" si="316"/>
        <v>3536.3333333333335</v>
      </c>
      <c r="CD146" s="243">
        <f t="shared" si="316"/>
        <v>3536.3333333333335</v>
      </c>
      <c r="CE146" s="243">
        <f t="shared" si="316"/>
        <v>3536.3333333333335</v>
      </c>
      <c r="CF146" s="243">
        <f t="shared" si="316"/>
        <v>3536.3333333333335</v>
      </c>
      <c r="CG146" s="243">
        <f t="shared" si="316"/>
        <v>3536.3333333333335</v>
      </c>
      <c r="CH146" s="243">
        <f t="shared" si="316"/>
        <v>3536.3333333333335</v>
      </c>
      <c r="CI146" s="272">
        <f t="shared" si="316"/>
        <v>3536.3333333333335</v>
      </c>
      <c r="CJ146" s="243"/>
      <c r="CK146" s="243"/>
      <c r="CL146" s="243"/>
      <c r="CM146" s="243"/>
      <c r="CN146" s="243"/>
      <c r="CO146" s="243"/>
      <c r="CP146" s="243"/>
      <c r="CQ146" s="243"/>
      <c r="CR146" s="243"/>
      <c r="CS146" s="243"/>
      <c r="CT146" s="243"/>
      <c r="CU146" s="243"/>
      <c r="CV146" s="243"/>
      <c r="CW146" s="243"/>
      <c r="CX146" s="243"/>
      <c r="CY146" s="243"/>
      <c r="CZ146" s="243"/>
      <c r="DA146" s="243"/>
      <c r="DB146" s="243"/>
      <c r="DC146" s="243"/>
      <c r="DD146" s="243"/>
      <c r="DE146" s="243"/>
      <c r="DF146" s="243"/>
      <c r="DG146" s="243"/>
      <c r="DH146" s="243"/>
      <c r="DI146" s="243"/>
      <c r="DJ146" s="243"/>
    </row>
    <row r="147" spans="1:87" ht="13.5">
      <c r="A147" s="32" t="s">
        <v>407</v>
      </c>
      <c r="B147" s="32"/>
      <c r="C147" s="26"/>
      <c r="D147" s="26"/>
      <c r="E147" s="246"/>
      <c r="F147" s="111"/>
      <c r="G147" s="23"/>
      <c r="H147" s="23"/>
      <c r="I147" s="23"/>
      <c r="J147" s="246"/>
      <c r="K147" s="158">
        <f>K146*B6</f>
        <v>8333.333333333332</v>
      </c>
      <c r="L147" s="153">
        <f>L146*C6</f>
        <v>10300</v>
      </c>
      <c r="M147" s="153">
        <f>M146*D6</f>
        <v>10609</v>
      </c>
      <c r="N147" s="24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3">
        <f>AZ146*$B$6</f>
        <v>0</v>
      </c>
      <c r="BA147" s="23">
        <f aca="true" t="shared" si="317" ref="BA147:BK147">BA146*$B$6</f>
        <v>0</v>
      </c>
      <c r="BB147" s="23">
        <f t="shared" si="317"/>
        <v>833.3333333333334</v>
      </c>
      <c r="BC147" s="23">
        <f t="shared" si="317"/>
        <v>833.3333333333334</v>
      </c>
      <c r="BD147" s="23">
        <f t="shared" si="317"/>
        <v>833.3333333333334</v>
      </c>
      <c r="BE147" s="23">
        <f t="shared" si="317"/>
        <v>833.3333333333334</v>
      </c>
      <c r="BF147" s="23">
        <f t="shared" si="317"/>
        <v>833.3333333333334</v>
      </c>
      <c r="BG147" s="23">
        <f t="shared" si="317"/>
        <v>833.3333333333334</v>
      </c>
      <c r="BH147" s="23">
        <f t="shared" si="317"/>
        <v>833.3333333333334</v>
      </c>
      <c r="BI147" s="23">
        <f t="shared" si="317"/>
        <v>833.3333333333334</v>
      </c>
      <c r="BJ147" s="23">
        <f t="shared" si="317"/>
        <v>833.3333333333334</v>
      </c>
      <c r="BK147" s="23">
        <f t="shared" si="317"/>
        <v>833.3333333333334</v>
      </c>
      <c r="BL147" s="23">
        <f>BL146*$C$6</f>
        <v>858.3333333333334</v>
      </c>
      <c r="BM147" s="23">
        <f aca="true" t="shared" si="318" ref="BM147:BW147">BM146*$C$6</f>
        <v>858.3333333333334</v>
      </c>
      <c r="BN147" s="23">
        <f t="shared" si="318"/>
        <v>858.3333333333334</v>
      </c>
      <c r="BO147" s="23">
        <f t="shared" si="318"/>
        <v>858.3333333333334</v>
      </c>
      <c r="BP147" s="23">
        <f t="shared" si="318"/>
        <v>858.3333333333334</v>
      </c>
      <c r="BQ147" s="23">
        <f t="shared" si="318"/>
        <v>858.3333333333334</v>
      </c>
      <c r="BR147" s="23">
        <f t="shared" si="318"/>
        <v>858.3333333333334</v>
      </c>
      <c r="BS147" s="23">
        <f t="shared" si="318"/>
        <v>858.3333333333334</v>
      </c>
      <c r="BT147" s="23">
        <f t="shared" si="318"/>
        <v>858.3333333333334</v>
      </c>
      <c r="BU147" s="23">
        <f t="shared" si="318"/>
        <v>858.3333333333334</v>
      </c>
      <c r="BV147" s="23">
        <f t="shared" si="318"/>
        <v>858.3333333333334</v>
      </c>
      <c r="BW147" s="23">
        <f t="shared" si="318"/>
        <v>858.3333333333334</v>
      </c>
      <c r="BX147" s="23">
        <f>BX146*$D$6</f>
        <v>884.0833333333334</v>
      </c>
      <c r="BY147" s="23">
        <f aca="true" t="shared" si="319" ref="BY147:CI147">BY146*$D$6</f>
        <v>884.0833333333334</v>
      </c>
      <c r="BZ147" s="23">
        <f t="shared" si="319"/>
        <v>884.0833333333334</v>
      </c>
      <c r="CA147" s="23">
        <f t="shared" si="319"/>
        <v>884.0833333333334</v>
      </c>
      <c r="CB147" s="23">
        <f t="shared" si="319"/>
        <v>884.0833333333334</v>
      </c>
      <c r="CC147" s="23">
        <f t="shared" si="319"/>
        <v>884.0833333333334</v>
      </c>
      <c r="CD147" s="23">
        <f t="shared" si="319"/>
        <v>884.0833333333334</v>
      </c>
      <c r="CE147" s="23">
        <f t="shared" si="319"/>
        <v>884.0833333333334</v>
      </c>
      <c r="CF147" s="23">
        <f t="shared" si="319"/>
        <v>884.0833333333334</v>
      </c>
      <c r="CG147" s="23">
        <f t="shared" si="319"/>
        <v>884.0833333333334</v>
      </c>
      <c r="CH147" s="23">
        <f t="shared" si="319"/>
        <v>884.0833333333334</v>
      </c>
      <c r="CI147" s="112">
        <f t="shared" si="319"/>
        <v>884.0833333333334</v>
      </c>
    </row>
    <row r="148" spans="1:87" ht="13.5">
      <c r="A148" s="32" t="s">
        <v>329</v>
      </c>
      <c r="B148" s="32"/>
      <c r="C148" s="26"/>
      <c r="D148" s="26"/>
      <c r="E148" s="246"/>
      <c r="F148" s="111"/>
      <c r="G148" s="23"/>
      <c r="H148" s="23"/>
      <c r="I148" s="23"/>
      <c r="J148" s="246"/>
      <c r="K148" s="158">
        <f>K146+K147</f>
        <v>41666.66666666666</v>
      </c>
      <c r="L148" s="153">
        <f>L146+L147</f>
        <v>51500</v>
      </c>
      <c r="M148" s="153">
        <f>M146+M147</f>
        <v>53045</v>
      </c>
      <c r="N148" s="24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3">
        <f>AZ146+AZ147</f>
        <v>0</v>
      </c>
      <c r="BA148" s="23">
        <f aca="true" t="shared" si="320" ref="BA148:CI148">BA146+BA147</f>
        <v>0</v>
      </c>
      <c r="BB148" s="23">
        <f t="shared" si="320"/>
        <v>4166.666666666667</v>
      </c>
      <c r="BC148" s="23">
        <f t="shared" si="320"/>
        <v>4166.666666666667</v>
      </c>
      <c r="BD148" s="23">
        <f t="shared" si="320"/>
        <v>4166.666666666667</v>
      </c>
      <c r="BE148" s="23">
        <f t="shared" si="320"/>
        <v>4166.666666666667</v>
      </c>
      <c r="BF148" s="23">
        <f t="shared" si="320"/>
        <v>4166.666666666667</v>
      </c>
      <c r="BG148" s="23">
        <f t="shared" si="320"/>
        <v>4166.666666666667</v>
      </c>
      <c r="BH148" s="23">
        <f t="shared" si="320"/>
        <v>4166.666666666667</v>
      </c>
      <c r="BI148" s="23">
        <f t="shared" si="320"/>
        <v>4166.666666666667</v>
      </c>
      <c r="BJ148" s="23">
        <f t="shared" si="320"/>
        <v>4166.666666666667</v>
      </c>
      <c r="BK148" s="23">
        <f t="shared" si="320"/>
        <v>4166.666666666667</v>
      </c>
      <c r="BL148" s="23">
        <f t="shared" si="320"/>
        <v>4291.666666666667</v>
      </c>
      <c r="BM148" s="23">
        <f t="shared" si="320"/>
        <v>4291.666666666667</v>
      </c>
      <c r="BN148" s="23">
        <f t="shared" si="320"/>
        <v>4291.666666666667</v>
      </c>
      <c r="BO148" s="23">
        <f t="shared" si="320"/>
        <v>4291.666666666667</v>
      </c>
      <c r="BP148" s="23">
        <f t="shared" si="320"/>
        <v>4291.666666666667</v>
      </c>
      <c r="BQ148" s="23">
        <f t="shared" si="320"/>
        <v>4291.666666666667</v>
      </c>
      <c r="BR148" s="23">
        <f t="shared" si="320"/>
        <v>4291.666666666667</v>
      </c>
      <c r="BS148" s="23">
        <f t="shared" si="320"/>
        <v>4291.666666666667</v>
      </c>
      <c r="BT148" s="23">
        <f t="shared" si="320"/>
        <v>4291.666666666667</v>
      </c>
      <c r="BU148" s="23">
        <f t="shared" si="320"/>
        <v>4291.666666666667</v>
      </c>
      <c r="BV148" s="23">
        <f t="shared" si="320"/>
        <v>4291.666666666667</v>
      </c>
      <c r="BW148" s="23">
        <f t="shared" si="320"/>
        <v>4291.666666666667</v>
      </c>
      <c r="BX148" s="23">
        <f t="shared" si="320"/>
        <v>4420.416666666667</v>
      </c>
      <c r="BY148" s="23">
        <f t="shared" si="320"/>
        <v>4420.416666666667</v>
      </c>
      <c r="BZ148" s="23">
        <f t="shared" si="320"/>
        <v>4420.416666666667</v>
      </c>
      <c r="CA148" s="23">
        <f t="shared" si="320"/>
        <v>4420.416666666667</v>
      </c>
      <c r="CB148" s="23">
        <f t="shared" si="320"/>
        <v>4420.416666666667</v>
      </c>
      <c r="CC148" s="23">
        <f t="shared" si="320"/>
        <v>4420.416666666667</v>
      </c>
      <c r="CD148" s="23">
        <f t="shared" si="320"/>
        <v>4420.416666666667</v>
      </c>
      <c r="CE148" s="23">
        <f t="shared" si="320"/>
        <v>4420.416666666667</v>
      </c>
      <c r="CF148" s="23">
        <f t="shared" si="320"/>
        <v>4420.416666666667</v>
      </c>
      <c r="CG148" s="23">
        <f t="shared" si="320"/>
        <v>4420.416666666667</v>
      </c>
      <c r="CH148" s="23">
        <f t="shared" si="320"/>
        <v>4420.416666666667</v>
      </c>
      <c r="CI148" s="112">
        <f t="shared" si="320"/>
        <v>4420.416666666667</v>
      </c>
    </row>
    <row r="149" spans="1:87" ht="13.5">
      <c r="A149" s="32"/>
      <c r="B149" s="32"/>
      <c r="C149" s="26"/>
      <c r="D149" s="26"/>
      <c r="E149" s="246"/>
      <c r="F149" s="111"/>
      <c r="G149" s="23"/>
      <c r="H149" s="23"/>
      <c r="I149" s="23"/>
      <c r="J149" s="246"/>
      <c r="K149" s="158"/>
      <c r="L149" s="153"/>
      <c r="M149" s="153"/>
      <c r="N149" s="24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3"/>
      <c r="CH149" s="23"/>
      <c r="CI149" s="112"/>
    </row>
    <row r="150" spans="1:87" ht="13.5">
      <c r="A150" s="271" t="s">
        <v>219</v>
      </c>
      <c r="B150" s="32"/>
      <c r="C150" s="26"/>
      <c r="D150" s="26"/>
      <c r="E150" s="246"/>
      <c r="F150" s="111"/>
      <c r="G150" s="23"/>
      <c r="H150" s="23"/>
      <c r="I150" s="23"/>
      <c r="J150" s="246"/>
      <c r="K150" s="32"/>
      <c r="L150" s="26"/>
      <c r="M150" s="26"/>
      <c r="N150" s="24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112"/>
    </row>
    <row r="151" spans="1:87" s="26" customFormat="1" ht="12.75" customHeight="1">
      <c r="A151" s="32" t="s">
        <v>268</v>
      </c>
      <c r="B151" s="234">
        <v>1</v>
      </c>
      <c r="C151" s="235">
        <v>1</v>
      </c>
      <c r="D151" s="235">
        <v>1</v>
      </c>
      <c r="E151" s="246"/>
      <c r="F151" s="212">
        <f>F119</f>
        <v>85000</v>
      </c>
      <c r="G151" s="23">
        <f>F151</f>
        <v>85000</v>
      </c>
      <c r="H151" s="23">
        <f>G151*(1+$C$5)</f>
        <v>87550</v>
      </c>
      <c r="I151" s="23">
        <f>H151*(1+$D$5)</f>
        <v>90176.5</v>
      </c>
      <c r="J151" s="246"/>
      <c r="K151" s="158">
        <f>SUM(AZ151:BK151)</f>
        <v>70833.33333333334</v>
      </c>
      <c r="L151" s="153">
        <f>SUM(BL151:BW151)</f>
        <v>87549.99999999999</v>
      </c>
      <c r="M151" s="153">
        <f>SUM(BX151:CI151)</f>
        <v>90176.49999999999</v>
      </c>
      <c r="N151" s="246"/>
      <c r="O151" s="26">
        <v>0</v>
      </c>
      <c r="P151" s="26">
        <v>0</v>
      </c>
      <c r="Q151" s="26">
        <f aca="true" t="shared" si="321" ref="Q151:Z151">$B$151</f>
        <v>1</v>
      </c>
      <c r="R151" s="26">
        <f t="shared" si="321"/>
        <v>1</v>
      </c>
      <c r="S151" s="26">
        <f t="shared" si="321"/>
        <v>1</v>
      </c>
      <c r="T151" s="26">
        <f t="shared" si="321"/>
        <v>1</v>
      </c>
      <c r="U151" s="26">
        <f t="shared" si="321"/>
        <v>1</v>
      </c>
      <c r="V151" s="26">
        <f t="shared" si="321"/>
        <v>1</v>
      </c>
      <c r="W151" s="26">
        <f t="shared" si="321"/>
        <v>1</v>
      </c>
      <c r="X151" s="26">
        <f t="shared" si="321"/>
        <v>1</v>
      </c>
      <c r="Y151" s="26">
        <f t="shared" si="321"/>
        <v>1</v>
      </c>
      <c r="Z151" s="26">
        <f t="shared" si="321"/>
        <v>1</v>
      </c>
      <c r="AA151" s="26">
        <f>$C$151</f>
        <v>1</v>
      </c>
      <c r="AB151" s="26">
        <f aca="true" t="shared" si="322" ref="AB151:AL151">$C$151</f>
        <v>1</v>
      </c>
      <c r="AC151" s="26">
        <f t="shared" si="322"/>
        <v>1</v>
      </c>
      <c r="AD151" s="26">
        <f t="shared" si="322"/>
        <v>1</v>
      </c>
      <c r="AE151" s="26">
        <f t="shared" si="322"/>
        <v>1</v>
      </c>
      <c r="AF151" s="26">
        <f t="shared" si="322"/>
        <v>1</v>
      </c>
      <c r="AG151" s="26">
        <f t="shared" si="322"/>
        <v>1</v>
      </c>
      <c r="AH151" s="26">
        <f t="shared" si="322"/>
        <v>1</v>
      </c>
      <c r="AI151" s="26">
        <f t="shared" si="322"/>
        <v>1</v>
      </c>
      <c r="AJ151" s="26">
        <f t="shared" si="322"/>
        <v>1</v>
      </c>
      <c r="AK151" s="26">
        <f t="shared" si="322"/>
        <v>1</v>
      </c>
      <c r="AL151" s="26">
        <f t="shared" si="322"/>
        <v>1</v>
      </c>
      <c r="AM151" s="26">
        <f>$D$151</f>
        <v>1</v>
      </c>
      <c r="AN151" s="26">
        <f aca="true" t="shared" si="323" ref="AN151:AX151">$D$151</f>
        <v>1</v>
      </c>
      <c r="AO151" s="26">
        <f t="shared" si="323"/>
        <v>1</v>
      </c>
      <c r="AP151" s="26">
        <f t="shared" si="323"/>
        <v>1</v>
      </c>
      <c r="AQ151" s="26">
        <f t="shared" si="323"/>
        <v>1</v>
      </c>
      <c r="AR151" s="26">
        <f t="shared" si="323"/>
        <v>1</v>
      </c>
      <c r="AS151" s="26">
        <f t="shared" si="323"/>
        <v>1</v>
      </c>
      <c r="AT151" s="26">
        <f t="shared" si="323"/>
        <v>1</v>
      </c>
      <c r="AU151" s="26">
        <f t="shared" si="323"/>
        <v>1</v>
      </c>
      <c r="AV151" s="26">
        <f t="shared" si="323"/>
        <v>1</v>
      </c>
      <c r="AW151" s="26">
        <f t="shared" si="323"/>
        <v>1</v>
      </c>
      <c r="AX151" s="26">
        <f t="shared" si="323"/>
        <v>1</v>
      </c>
      <c r="AZ151" s="23">
        <f>($G$151/12)*O151</f>
        <v>0</v>
      </c>
      <c r="BA151" s="23">
        <f aca="true" t="shared" si="324" ref="BA151:BK151">($G$151/12)*P151</f>
        <v>0</v>
      </c>
      <c r="BB151" s="23">
        <f t="shared" si="324"/>
        <v>7083.333333333333</v>
      </c>
      <c r="BC151" s="23">
        <f t="shared" si="324"/>
        <v>7083.333333333333</v>
      </c>
      <c r="BD151" s="23">
        <f t="shared" si="324"/>
        <v>7083.333333333333</v>
      </c>
      <c r="BE151" s="23">
        <f t="shared" si="324"/>
        <v>7083.333333333333</v>
      </c>
      <c r="BF151" s="23">
        <f t="shared" si="324"/>
        <v>7083.333333333333</v>
      </c>
      <c r="BG151" s="23">
        <f t="shared" si="324"/>
        <v>7083.333333333333</v>
      </c>
      <c r="BH151" s="23">
        <f t="shared" si="324"/>
        <v>7083.333333333333</v>
      </c>
      <c r="BI151" s="23">
        <f t="shared" si="324"/>
        <v>7083.333333333333</v>
      </c>
      <c r="BJ151" s="23">
        <f t="shared" si="324"/>
        <v>7083.333333333333</v>
      </c>
      <c r="BK151" s="23">
        <f t="shared" si="324"/>
        <v>7083.333333333333</v>
      </c>
      <c r="BL151" s="23">
        <f>($H$151/12)*AA151</f>
        <v>7295.833333333333</v>
      </c>
      <c r="BM151" s="23">
        <f aca="true" t="shared" si="325" ref="BM151:BW151">($H$151/12)*AB151</f>
        <v>7295.833333333333</v>
      </c>
      <c r="BN151" s="23">
        <f t="shared" si="325"/>
        <v>7295.833333333333</v>
      </c>
      <c r="BO151" s="23">
        <f t="shared" si="325"/>
        <v>7295.833333333333</v>
      </c>
      <c r="BP151" s="23">
        <f t="shared" si="325"/>
        <v>7295.833333333333</v>
      </c>
      <c r="BQ151" s="23">
        <f t="shared" si="325"/>
        <v>7295.833333333333</v>
      </c>
      <c r="BR151" s="23">
        <f t="shared" si="325"/>
        <v>7295.833333333333</v>
      </c>
      <c r="BS151" s="23">
        <f t="shared" si="325"/>
        <v>7295.833333333333</v>
      </c>
      <c r="BT151" s="23">
        <f t="shared" si="325"/>
        <v>7295.833333333333</v>
      </c>
      <c r="BU151" s="23">
        <f t="shared" si="325"/>
        <v>7295.833333333333</v>
      </c>
      <c r="BV151" s="23">
        <f t="shared" si="325"/>
        <v>7295.833333333333</v>
      </c>
      <c r="BW151" s="23">
        <f t="shared" si="325"/>
        <v>7295.833333333333</v>
      </c>
      <c r="BX151" s="23">
        <f>($I$151/12)*AM151</f>
        <v>7514.708333333333</v>
      </c>
      <c r="BY151" s="23">
        <f aca="true" t="shared" si="326" ref="BY151:CI151">($I$151/12)*AN151</f>
        <v>7514.708333333333</v>
      </c>
      <c r="BZ151" s="23">
        <f t="shared" si="326"/>
        <v>7514.708333333333</v>
      </c>
      <c r="CA151" s="23">
        <f t="shared" si="326"/>
        <v>7514.708333333333</v>
      </c>
      <c r="CB151" s="23">
        <f t="shared" si="326"/>
        <v>7514.708333333333</v>
      </c>
      <c r="CC151" s="23">
        <f t="shared" si="326"/>
        <v>7514.708333333333</v>
      </c>
      <c r="CD151" s="23">
        <f t="shared" si="326"/>
        <v>7514.708333333333</v>
      </c>
      <c r="CE151" s="23">
        <f t="shared" si="326"/>
        <v>7514.708333333333</v>
      </c>
      <c r="CF151" s="23">
        <f t="shared" si="326"/>
        <v>7514.708333333333</v>
      </c>
      <c r="CG151" s="23">
        <f t="shared" si="326"/>
        <v>7514.708333333333</v>
      </c>
      <c r="CH151" s="23">
        <f t="shared" si="326"/>
        <v>7514.708333333333</v>
      </c>
      <c r="CI151" s="112">
        <f t="shared" si="326"/>
        <v>7514.708333333333</v>
      </c>
    </row>
    <row r="152" spans="1:87" s="52" customFormat="1" ht="12.75" customHeight="1">
      <c r="A152" s="33" t="s">
        <v>141</v>
      </c>
      <c r="B152" s="236">
        <v>0.5</v>
      </c>
      <c r="C152" s="237">
        <v>0.5</v>
      </c>
      <c r="D152" s="237">
        <v>0.5</v>
      </c>
      <c r="E152" s="248"/>
      <c r="F152" s="213">
        <f>F83</f>
        <v>78000</v>
      </c>
      <c r="G152" s="116">
        <f>F152</f>
        <v>78000</v>
      </c>
      <c r="H152" s="116">
        <f>G152*(1+$C$5)</f>
        <v>80340</v>
      </c>
      <c r="I152" s="116">
        <f>H152*(1+$D$5)</f>
        <v>82750.2</v>
      </c>
      <c r="J152" s="248"/>
      <c r="K152" s="214">
        <f>SUM(AZ152:BK152)</f>
        <v>39000</v>
      </c>
      <c r="L152" s="215">
        <f>SUM(BL152:BW152)</f>
        <v>40170</v>
      </c>
      <c r="M152" s="215">
        <f>SUM(BX152:CI152)</f>
        <v>41375.100000000006</v>
      </c>
      <c r="N152" s="248"/>
      <c r="O152" s="52">
        <f>$B$152</f>
        <v>0.5</v>
      </c>
      <c r="P152" s="52">
        <f aca="true" t="shared" si="327" ref="P152:Z152">$B$152</f>
        <v>0.5</v>
      </c>
      <c r="Q152" s="52">
        <f t="shared" si="327"/>
        <v>0.5</v>
      </c>
      <c r="R152" s="52">
        <f t="shared" si="327"/>
        <v>0.5</v>
      </c>
      <c r="S152" s="52">
        <f t="shared" si="327"/>
        <v>0.5</v>
      </c>
      <c r="T152" s="52">
        <f t="shared" si="327"/>
        <v>0.5</v>
      </c>
      <c r="U152" s="52">
        <f t="shared" si="327"/>
        <v>0.5</v>
      </c>
      <c r="V152" s="52">
        <f t="shared" si="327"/>
        <v>0.5</v>
      </c>
      <c r="W152" s="52">
        <f t="shared" si="327"/>
        <v>0.5</v>
      </c>
      <c r="X152" s="52">
        <f t="shared" si="327"/>
        <v>0.5</v>
      </c>
      <c r="Y152" s="52">
        <f t="shared" si="327"/>
        <v>0.5</v>
      </c>
      <c r="Z152" s="52">
        <f t="shared" si="327"/>
        <v>0.5</v>
      </c>
      <c r="AA152" s="52">
        <f>$C$152</f>
        <v>0.5</v>
      </c>
      <c r="AB152" s="52">
        <f aca="true" t="shared" si="328" ref="AB152:AL152">$C$152</f>
        <v>0.5</v>
      </c>
      <c r="AC152" s="52">
        <f t="shared" si="328"/>
        <v>0.5</v>
      </c>
      <c r="AD152" s="52">
        <f t="shared" si="328"/>
        <v>0.5</v>
      </c>
      <c r="AE152" s="52">
        <f t="shared" si="328"/>
        <v>0.5</v>
      </c>
      <c r="AF152" s="52">
        <f t="shared" si="328"/>
        <v>0.5</v>
      </c>
      <c r="AG152" s="52">
        <f t="shared" si="328"/>
        <v>0.5</v>
      </c>
      <c r="AH152" s="52">
        <f t="shared" si="328"/>
        <v>0.5</v>
      </c>
      <c r="AI152" s="52">
        <f t="shared" si="328"/>
        <v>0.5</v>
      </c>
      <c r="AJ152" s="52">
        <f t="shared" si="328"/>
        <v>0.5</v>
      </c>
      <c r="AK152" s="52">
        <f t="shared" si="328"/>
        <v>0.5</v>
      </c>
      <c r="AL152" s="52">
        <f t="shared" si="328"/>
        <v>0.5</v>
      </c>
      <c r="AM152" s="52">
        <f>$D$152</f>
        <v>0.5</v>
      </c>
      <c r="AN152" s="52">
        <f aca="true" t="shared" si="329" ref="AN152:AX152">$D$152</f>
        <v>0.5</v>
      </c>
      <c r="AO152" s="52">
        <f t="shared" si="329"/>
        <v>0.5</v>
      </c>
      <c r="AP152" s="52">
        <f t="shared" si="329"/>
        <v>0.5</v>
      </c>
      <c r="AQ152" s="52">
        <f t="shared" si="329"/>
        <v>0.5</v>
      </c>
      <c r="AR152" s="52">
        <f t="shared" si="329"/>
        <v>0.5</v>
      </c>
      <c r="AS152" s="52">
        <f t="shared" si="329"/>
        <v>0.5</v>
      </c>
      <c r="AT152" s="52">
        <f t="shared" si="329"/>
        <v>0.5</v>
      </c>
      <c r="AU152" s="52">
        <f t="shared" si="329"/>
        <v>0.5</v>
      </c>
      <c r="AV152" s="52">
        <f t="shared" si="329"/>
        <v>0.5</v>
      </c>
      <c r="AW152" s="52">
        <f t="shared" si="329"/>
        <v>0.5</v>
      </c>
      <c r="AX152" s="52">
        <f t="shared" si="329"/>
        <v>0.5</v>
      </c>
      <c r="AZ152" s="116">
        <f>($G$152/12)*O152</f>
        <v>3250</v>
      </c>
      <c r="BA152" s="116">
        <f aca="true" t="shared" si="330" ref="BA152:BK152">($G$152/12)*P152</f>
        <v>3250</v>
      </c>
      <c r="BB152" s="116">
        <f t="shared" si="330"/>
        <v>3250</v>
      </c>
      <c r="BC152" s="116">
        <f t="shared" si="330"/>
        <v>3250</v>
      </c>
      <c r="BD152" s="116">
        <f t="shared" si="330"/>
        <v>3250</v>
      </c>
      <c r="BE152" s="116">
        <f t="shared" si="330"/>
        <v>3250</v>
      </c>
      <c r="BF152" s="116">
        <f t="shared" si="330"/>
        <v>3250</v>
      </c>
      <c r="BG152" s="116">
        <f t="shared" si="330"/>
        <v>3250</v>
      </c>
      <c r="BH152" s="116">
        <f t="shared" si="330"/>
        <v>3250</v>
      </c>
      <c r="BI152" s="116">
        <f t="shared" si="330"/>
        <v>3250</v>
      </c>
      <c r="BJ152" s="116">
        <f t="shared" si="330"/>
        <v>3250</v>
      </c>
      <c r="BK152" s="116">
        <f t="shared" si="330"/>
        <v>3250</v>
      </c>
      <c r="BL152" s="116">
        <f>($H$152/12)*AA152</f>
        <v>3347.5</v>
      </c>
      <c r="BM152" s="116">
        <f aca="true" t="shared" si="331" ref="BM152:BW152">($H$152/12)*AB152</f>
        <v>3347.5</v>
      </c>
      <c r="BN152" s="116">
        <f t="shared" si="331"/>
        <v>3347.5</v>
      </c>
      <c r="BO152" s="116">
        <f t="shared" si="331"/>
        <v>3347.5</v>
      </c>
      <c r="BP152" s="116">
        <f t="shared" si="331"/>
        <v>3347.5</v>
      </c>
      <c r="BQ152" s="116">
        <f t="shared" si="331"/>
        <v>3347.5</v>
      </c>
      <c r="BR152" s="116">
        <f t="shared" si="331"/>
        <v>3347.5</v>
      </c>
      <c r="BS152" s="116">
        <f t="shared" si="331"/>
        <v>3347.5</v>
      </c>
      <c r="BT152" s="116">
        <f t="shared" si="331"/>
        <v>3347.5</v>
      </c>
      <c r="BU152" s="116">
        <f t="shared" si="331"/>
        <v>3347.5</v>
      </c>
      <c r="BV152" s="116">
        <f t="shared" si="331"/>
        <v>3347.5</v>
      </c>
      <c r="BW152" s="116">
        <f t="shared" si="331"/>
        <v>3347.5</v>
      </c>
      <c r="BX152" s="116">
        <f>($I$152/12)*AM152</f>
        <v>3447.9249999999997</v>
      </c>
      <c r="BY152" s="116">
        <f aca="true" t="shared" si="332" ref="BY152:CI152">($I$152/12)*AN152</f>
        <v>3447.9249999999997</v>
      </c>
      <c r="BZ152" s="116">
        <f t="shared" si="332"/>
        <v>3447.9249999999997</v>
      </c>
      <c r="CA152" s="116">
        <f t="shared" si="332"/>
        <v>3447.9249999999997</v>
      </c>
      <c r="CB152" s="116">
        <f t="shared" si="332"/>
        <v>3447.9249999999997</v>
      </c>
      <c r="CC152" s="116">
        <f t="shared" si="332"/>
        <v>3447.9249999999997</v>
      </c>
      <c r="CD152" s="116">
        <f t="shared" si="332"/>
        <v>3447.9249999999997</v>
      </c>
      <c r="CE152" s="116">
        <f t="shared" si="332"/>
        <v>3447.9249999999997</v>
      </c>
      <c r="CF152" s="116">
        <f t="shared" si="332"/>
        <v>3447.9249999999997</v>
      </c>
      <c r="CG152" s="116">
        <f t="shared" si="332"/>
        <v>3447.9249999999997</v>
      </c>
      <c r="CH152" s="116">
        <f t="shared" si="332"/>
        <v>3447.9249999999997</v>
      </c>
      <c r="CI152" s="119">
        <f t="shared" si="332"/>
        <v>3447.9249999999997</v>
      </c>
    </row>
    <row r="153" spans="1:114" s="52" customFormat="1" ht="12.75" customHeight="1">
      <c r="A153" s="38" t="s">
        <v>193</v>
      </c>
      <c r="B153" s="38">
        <f>SUM(B151:B152)</f>
        <v>1.5</v>
      </c>
      <c r="C153" s="52">
        <f>SUM(C151:C152)</f>
        <v>1.5</v>
      </c>
      <c r="D153" s="52">
        <f>SUM(D151:D152)</f>
        <v>1.5</v>
      </c>
      <c r="E153" s="248"/>
      <c r="F153" s="118"/>
      <c r="G153" s="116"/>
      <c r="H153" s="116"/>
      <c r="I153" s="116"/>
      <c r="J153" s="248"/>
      <c r="K153" s="214">
        <f>SUM(K151:K152)</f>
        <v>109833.33333333334</v>
      </c>
      <c r="L153" s="215">
        <f>SUM(L151:L152)</f>
        <v>127719.99999999999</v>
      </c>
      <c r="M153" s="215">
        <f>SUM(M151:M152)</f>
        <v>131551.59999999998</v>
      </c>
      <c r="N153" s="248"/>
      <c r="O153" s="52">
        <f aca="true" t="shared" si="333" ref="O153:AX153">SUM(O151:O152)</f>
        <v>0.5</v>
      </c>
      <c r="P153" s="52">
        <f t="shared" si="333"/>
        <v>0.5</v>
      </c>
      <c r="Q153" s="52">
        <f t="shared" si="333"/>
        <v>1.5</v>
      </c>
      <c r="R153" s="52">
        <f t="shared" si="333"/>
        <v>1.5</v>
      </c>
      <c r="S153" s="52">
        <f t="shared" si="333"/>
        <v>1.5</v>
      </c>
      <c r="T153" s="52">
        <f t="shared" si="333"/>
        <v>1.5</v>
      </c>
      <c r="U153" s="52">
        <f t="shared" si="333"/>
        <v>1.5</v>
      </c>
      <c r="V153" s="52">
        <f t="shared" si="333"/>
        <v>1.5</v>
      </c>
      <c r="W153" s="52">
        <f t="shared" si="333"/>
        <v>1.5</v>
      </c>
      <c r="X153" s="52">
        <f t="shared" si="333"/>
        <v>1.5</v>
      </c>
      <c r="Y153" s="52">
        <f t="shared" si="333"/>
        <v>1.5</v>
      </c>
      <c r="Z153" s="52">
        <f t="shared" si="333"/>
        <v>1.5</v>
      </c>
      <c r="AA153" s="52">
        <f t="shared" si="333"/>
        <v>1.5</v>
      </c>
      <c r="AB153" s="52">
        <f t="shared" si="333"/>
        <v>1.5</v>
      </c>
      <c r="AC153" s="52">
        <f t="shared" si="333"/>
        <v>1.5</v>
      </c>
      <c r="AD153" s="52">
        <f t="shared" si="333"/>
        <v>1.5</v>
      </c>
      <c r="AE153" s="52">
        <f t="shared" si="333"/>
        <v>1.5</v>
      </c>
      <c r="AF153" s="52">
        <f t="shared" si="333"/>
        <v>1.5</v>
      </c>
      <c r="AG153" s="52">
        <f t="shared" si="333"/>
        <v>1.5</v>
      </c>
      <c r="AH153" s="52">
        <f t="shared" si="333"/>
        <v>1.5</v>
      </c>
      <c r="AI153" s="52">
        <f t="shared" si="333"/>
        <v>1.5</v>
      </c>
      <c r="AJ153" s="52">
        <f t="shared" si="333"/>
        <v>1.5</v>
      </c>
      <c r="AK153" s="52">
        <f t="shared" si="333"/>
        <v>1.5</v>
      </c>
      <c r="AL153" s="52">
        <f t="shared" si="333"/>
        <v>1.5</v>
      </c>
      <c r="AM153" s="52">
        <f t="shared" si="333"/>
        <v>1.5</v>
      </c>
      <c r="AN153" s="52">
        <f t="shared" si="333"/>
        <v>1.5</v>
      </c>
      <c r="AO153" s="52">
        <f t="shared" si="333"/>
        <v>1.5</v>
      </c>
      <c r="AP153" s="52">
        <f t="shared" si="333"/>
        <v>1.5</v>
      </c>
      <c r="AQ153" s="52">
        <f t="shared" si="333"/>
        <v>1.5</v>
      </c>
      <c r="AR153" s="52">
        <f t="shared" si="333"/>
        <v>1.5</v>
      </c>
      <c r="AS153" s="52">
        <f t="shared" si="333"/>
        <v>1.5</v>
      </c>
      <c r="AT153" s="52">
        <f t="shared" si="333"/>
        <v>1.5</v>
      </c>
      <c r="AU153" s="52">
        <f t="shared" si="333"/>
        <v>1.5</v>
      </c>
      <c r="AV153" s="52">
        <f t="shared" si="333"/>
        <v>1.5</v>
      </c>
      <c r="AW153" s="52">
        <f t="shared" si="333"/>
        <v>1.5</v>
      </c>
      <c r="AX153" s="52">
        <f t="shared" si="333"/>
        <v>1.5</v>
      </c>
      <c r="AZ153" s="116">
        <f aca="true" t="shared" si="334" ref="AZ153:CI153">SUM(AZ151:AZ152)</f>
        <v>3250</v>
      </c>
      <c r="BA153" s="116">
        <f t="shared" si="334"/>
        <v>3250</v>
      </c>
      <c r="BB153" s="116">
        <f t="shared" si="334"/>
        <v>10333.333333333332</v>
      </c>
      <c r="BC153" s="116">
        <f t="shared" si="334"/>
        <v>10333.333333333332</v>
      </c>
      <c r="BD153" s="116">
        <f t="shared" si="334"/>
        <v>10333.333333333332</v>
      </c>
      <c r="BE153" s="116">
        <f t="shared" si="334"/>
        <v>10333.333333333332</v>
      </c>
      <c r="BF153" s="116">
        <f t="shared" si="334"/>
        <v>10333.333333333332</v>
      </c>
      <c r="BG153" s="116">
        <f t="shared" si="334"/>
        <v>10333.333333333332</v>
      </c>
      <c r="BH153" s="116">
        <f t="shared" si="334"/>
        <v>10333.333333333332</v>
      </c>
      <c r="BI153" s="116">
        <f t="shared" si="334"/>
        <v>10333.333333333332</v>
      </c>
      <c r="BJ153" s="116">
        <f t="shared" si="334"/>
        <v>10333.333333333332</v>
      </c>
      <c r="BK153" s="116">
        <f t="shared" si="334"/>
        <v>10333.333333333332</v>
      </c>
      <c r="BL153" s="116">
        <f t="shared" si="334"/>
        <v>10643.333333333332</v>
      </c>
      <c r="BM153" s="116">
        <f t="shared" si="334"/>
        <v>10643.333333333332</v>
      </c>
      <c r="BN153" s="116">
        <f t="shared" si="334"/>
        <v>10643.333333333332</v>
      </c>
      <c r="BO153" s="116">
        <f t="shared" si="334"/>
        <v>10643.333333333332</v>
      </c>
      <c r="BP153" s="116">
        <f t="shared" si="334"/>
        <v>10643.333333333332</v>
      </c>
      <c r="BQ153" s="116">
        <f t="shared" si="334"/>
        <v>10643.333333333332</v>
      </c>
      <c r="BR153" s="116">
        <f t="shared" si="334"/>
        <v>10643.333333333332</v>
      </c>
      <c r="BS153" s="116">
        <f t="shared" si="334"/>
        <v>10643.333333333332</v>
      </c>
      <c r="BT153" s="116">
        <f t="shared" si="334"/>
        <v>10643.333333333332</v>
      </c>
      <c r="BU153" s="116">
        <f t="shared" si="334"/>
        <v>10643.333333333332</v>
      </c>
      <c r="BV153" s="116">
        <f t="shared" si="334"/>
        <v>10643.333333333332</v>
      </c>
      <c r="BW153" s="116">
        <f t="shared" si="334"/>
        <v>10643.333333333332</v>
      </c>
      <c r="BX153" s="116">
        <f t="shared" si="334"/>
        <v>10962.633333333333</v>
      </c>
      <c r="BY153" s="116">
        <f t="shared" si="334"/>
        <v>10962.633333333333</v>
      </c>
      <c r="BZ153" s="116">
        <f t="shared" si="334"/>
        <v>10962.633333333333</v>
      </c>
      <c r="CA153" s="116">
        <f t="shared" si="334"/>
        <v>10962.633333333333</v>
      </c>
      <c r="CB153" s="116">
        <f t="shared" si="334"/>
        <v>10962.633333333333</v>
      </c>
      <c r="CC153" s="116">
        <f t="shared" si="334"/>
        <v>10962.633333333333</v>
      </c>
      <c r="CD153" s="116">
        <f t="shared" si="334"/>
        <v>10962.633333333333</v>
      </c>
      <c r="CE153" s="116">
        <f t="shared" si="334"/>
        <v>10962.633333333333</v>
      </c>
      <c r="CF153" s="116">
        <f t="shared" si="334"/>
        <v>10962.633333333333</v>
      </c>
      <c r="CG153" s="116">
        <f t="shared" si="334"/>
        <v>10962.633333333333</v>
      </c>
      <c r="CH153" s="116">
        <f t="shared" si="334"/>
        <v>10962.633333333333</v>
      </c>
      <c r="CI153" s="119">
        <f t="shared" si="334"/>
        <v>10962.633333333333</v>
      </c>
      <c r="CJ153" s="116"/>
      <c r="CK153" s="116"/>
      <c r="CL153" s="116"/>
      <c r="CM153" s="116"/>
      <c r="CN153" s="116"/>
      <c r="CO153" s="116"/>
      <c r="CP153" s="116"/>
      <c r="CQ153" s="116"/>
      <c r="CR153" s="116"/>
      <c r="CS153" s="116"/>
      <c r="CT153" s="116"/>
      <c r="CU153" s="116"/>
      <c r="CV153" s="116"/>
      <c r="CW153" s="116"/>
      <c r="CX153" s="116"/>
      <c r="CY153" s="116"/>
      <c r="CZ153" s="116"/>
      <c r="DA153" s="116"/>
      <c r="DB153" s="116"/>
      <c r="DC153" s="116"/>
      <c r="DD153" s="116"/>
      <c r="DE153" s="116"/>
      <c r="DF153" s="116"/>
      <c r="DG153" s="116"/>
      <c r="DH153" s="116"/>
      <c r="DI153" s="116"/>
      <c r="DJ153" s="116"/>
    </row>
    <row r="154" spans="1:87" ht="13.5">
      <c r="A154" s="32" t="s">
        <v>407</v>
      </c>
      <c r="B154" s="32"/>
      <c r="C154" s="26"/>
      <c r="D154" s="26"/>
      <c r="E154" s="246"/>
      <c r="F154" s="111"/>
      <c r="G154" s="23"/>
      <c r="H154" s="23"/>
      <c r="I154" s="23"/>
      <c r="J154" s="246"/>
      <c r="K154" s="158">
        <f>K153*B6</f>
        <v>27458.333333333336</v>
      </c>
      <c r="L154" s="153">
        <f>L153*C6</f>
        <v>31929.999999999996</v>
      </c>
      <c r="M154" s="153">
        <f>M153*D6</f>
        <v>32887.899999999994</v>
      </c>
      <c r="N154" s="24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3">
        <f>AZ153*$B$6</f>
        <v>812.5</v>
      </c>
      <c r="BA154" s="23">
        <f aca="true" t="shared" si="335" ref="BA154:BK154">BA153*$B$6</f>
        <v>812.5</v>
      </c>
      <c r="BB154" s="23">
        <f t="shared" si="335"/>
        <v>2583.333333333333</v>
      </c>
      <c r="BC154" s="23">
        <f t="shared" si="335"/>
        <v>2583.333333333333</v>
      </c>
      <c r="BD154" s="23">
        <f t="shared" si="335"/>
        <v>2583.333333333333</v>
      </c>
      <c r="BE154" s="23">
        <f t="shared" si="335"/>
        <v>2583.333333333333</v>
      </c>
      <c r="BF154" s="23">
        <f t="shared" si="335"/>
        <v>2583.333333333333</v>
      </c>
      <c r="BG154" s="23">
        <f t="shared" si="335"/>
        <v>2583.333333333333</v>
      </c>
      <c r="BH154" s="23">
        <f t="shared" si="335"/>
        <v>2583.333333333333</v>
      </c>
      <c r="BI154" s="23">
        <f t="shared" si="335"/>
        <v>2583.333333333333</v>
      </c>
      <c r="BJ154" s="23">
        <f t="shared" si="335"/>
        <v>2583.333333333333</v>
      </c>
      <c r="BK154" s="23">
        <f t="shared" si="335"/>
        <v>2583.333333333333</v>
      </c>
      <c r="BL154" s="23">
        <f>BL153*$C$6</f>
        <v>2660.833333333333</v>
      </c>
      <c r="BM154" s="23">
        <f aca="true" t="shared" si="336" ref="BM154:BW154">BM153*$C$6</f>
        <v>2660.833333333333</v>
      </c>
      <c r="BN154" s="23">
        <f t="shared" si="336"/>
        <v>2660.833333333333</v>
      </c>
      <c r="BO154" s="23">
        <f t="shared" si="336"/>
        <v>2660.833333333333</v>
      </c>
      <c r="BP154" s="23">
        <f t="shared" si="336"/>
        <v>2660.833333333333</v>
      </c>
      <c r="BQ154" s="23">
        <f t="shared" si="336"/>
        <v>2660.833333333333</v>
      </c>
      <c r="BR154" s="23">
        <f t="shared" si="336"/>
        <v>2660.833333333333</v>
      </c>
      <c r="BS154" s="23">
        <f t="shared" si="336"/>
        <v>2660.833333333333</v>
      </c>
      <c r="BT154" s="23">
        <f t="shared" si="336"/>
        <v>2660.833333333333</v>
      </c>
      <c r="BU154" s="23">
        <f t="shared" si="336"/>
        <v>2660.833333333333</v>
      </c>
      <c r="BV154" s="23">
        <f t="shared" si="336"/>
        <v>2660.833333333333</v>
      </c>
      <c r="BW154" s="23">
        <f t="shared" si="336"/>
        <v>2660.833333333333</v>
      </c>
      <c r="BX154" s="23">
        <f>BX153*$D$6</f>
        <v>2740.6583333333333</v>
      </c>
      <c r="BY154" s="23">
        <f aca="true" t="shared" si="337" ref="BY154:CI154">BY153*$D$6</f>
        <v>2740.6583333333333</v>
      </c>
      <c r="BZ154" s="23">
        <f t="shared" si="337"/>
        <v>2740.6583333333333</v>
      </c>
      <c r="CA154" s="23">
        <f t="shared" si="337"/>
        <v>2740.6583333333333</v>
      </c>
      <c r="CB154" s="23">
        <f t="shared" si="337"/>
        <v>2740.6583333333333</v>
      </c>
      <c r="CC154" s="23">
        <f t="shared" si="337"/>
        <v>2740.6583333333333</v>
      </c>
      <c r="CD154" s="23">
        <f t="shared" si="337"/>
        <v>2740.6583333333333</v>
      </c>
      <c r="CE154" s="23">
        <f t="shared" si="337"/>
        <v>2740.6583333333333</v>
      </c>
      <c r="CF154" s="23">
        <f t="shared" si="337"/>
        <v>2740.6583333333333</v>
      </c>
      <c r="CG154" s="23">
        <f t="shared" si="337"/>
        <v>2740.6583333333333</v>
      </c>
      <c r="CH154" s="23">
        <f t="shared" si="337"/>
        <v>2740.6583333333333</v>
      </c>
      <c r="CI154" s="112">
        <f t="shared" si="337"/>
        <v>2740.6583333333333</v>
      </c>
    </row>
    <row r="155" spans="1:87" ht="13.5">
      <c r="A155" s="32" t="s">
        <v>329</v>
      </c>
      <c r="B155" s="32"/>
      <c r="C155" s="26"/>
      <c r="D155" s="26"/>
      <c r="E155" s="246"/>
      <c r="F155" s="111"/>
      <c r="G155" s="23"/>
      <c r="H155" s="23"/>
      <c r="I155" s="23"/>
      <c r="J155" s="246"/>
      <c r="K155" s="158">
        <f>K153+K154</f>
        <v>137291.6666666667</v>
      </c>
      <c r="L155" s="153">
        <f>L153+L154</f>
        <v>159649.99999999997</v>
      </c>
      <c r="M155" s="153">
        <f>M153+M154</f>
        <v>164439.49999999997</v>
      </c>
      <c r="N155" s="24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3">
        <f aca="true" t="shared" si="338" ref="AZ155:CI155">AZ153+AZ154</f>
        <v>4062.5</v>
      </c>
      <c r="BA155" s="23">
        <f t="shared" si="338"/>
        <v>4062.5</v>
      </c>
      <c r="BB155" s="23">
        <f t="shared" si="338"/>
        <v>12916.666666666664</v>
      </c>
      <c r="BC155" s="23">
        <f t="shared" si="338"/>
        <v>12916.666666666664</v>
      </c>
      <c r="BD155" s="23">
        <f t="shared" si="338"/>
        <v>12916.666666666664</v>
      </c>
      <c r="BE155" s="23">
        <f t="shared" si="338"/>
        <v>12916.666666666664</v>
      </c>
      <c r="BF155" s="23">
        <f t="shared" si="338"/>
        <v>12916.666666666664</v>
      </c>
      <c r="BG155" s="23">
        <f t="shared" si="338"/>
        <v>12916.666666666664</v>
      </c>
      <c r="BH155" s="23">
        <f t="shared" si="338"/>
        <v>12916.666666666664</v>
      </c>
      <c r="BI155" s="23">
        <f t="shared" si="338"/>
        <v>12916.666666666664</v>
      </c>
      <c r="BJ155" s="23">
        <f t="shared" si="338"/>
        <v>12916.666666666664</v>
      </c>
      <c r="BK155" s="23">
        <f t="shared" si="338"/>
        <v>12916.666666666664</v>
      </c>
      <c r="BL155" s="23">
        <f t="shared" si="338"/>
        <v>13304.166666666664</v>
      </c>
      <c r="BM155" s="23">
        <f t="shared" si="338"/>
        <v>13304.166666666664</v>
      </c>
      <c r="BN155" s="23">
        <f t="shared" si="338"/>
        <v>13304.166666666664</v>
      </c>
      <c r="BO155" s="23">
        <f t="shared" si="338"/>
        <v>13304.166666666664</v>
      </c>
      <c r="BP155" s="23">
        <f t="shared" si="338"/>
        <v>13304.166666666664</v>
      </c>
      <c r="BQ155" s="23">
        <f t="shared" si="338"/>
        <v>13304.166666666664</v>
      </c>
      <c r="BR155" s="23">
        <f t="shared" si="338"/>
        <v>13304.166666666664</v>
      </c>
      <c r="BS155" s="23">
        <f t="shared" si="338"/>
        <v>13304.166666666664</v>
      </c>
      <c r="BT155" s="23">
        <f t="shared" si="338"/>
        <v>13304.166666666664</v>
      </c>
      <c r="BU155" s="23">
        <f t="shared" si="338"/>
        <v>13304.166666666664</v>
      </c>
      <c r="BV155" s="23">
        <f t="shared" si="338"/>
        <v>13304.166666666664</v>
      </c>
      <c r="BW155" s="23">
        <f t="shared" si="338"/>
        <v>13304.166666666664</v>
      </c>
      <c r="BX155" s="23">
        <f t="shared" si="338"/>
        <v>13703.291666666666</v>
      </c>
      <c r="BY155" s="23">
        <f t="shared" si="338"/>
        <v>13703.291666666666</v>
      </c>
      <c r="BZ155" s="23">
        <f t="shared" si="338"/>
        <v>13703.291666666666</v>
      </c>
      <c r="CA155" s="23">
        <f t="shared" si="338"/>
        <v>13703.291666666666</v>
      </c>
      <c r="CB155" s="23">
        <f t="shared" si="338"/>
        <v>13703.291666666666</v>
      </c>
      <c r="CC155" s="23">
        <f t="shared" si="338"/>
        <v>13703.291666666666</v>
      </c>
      <c r="CD155" s="23">
        <f t="shared" si="338"/>
        <v>13703.291666666666</v>
      </c>
      <c r="CE155" s="23">
        <f t="shared" si="338"/>
        <v>13703.291666666666</v>
      </c>
      <c r="CF155" s="23">
        <f t="shared" si="338"/>
        <v>13703.291666666666</v>
      </c>
      <c r="CG155" s="23">
        <f t="shared" si="338"/>
        <v>13703.291666666666</v>
      </c>
      <c r="CH155" s="23">
        <f t="shared" si="338"/>
        <v>13703.291666666666</v>
      </c>
      <c r="CI155" s="112">
        <f t="shared" si="338"/>
        <v>13703.291666666666</v>
      </c>
    </row>
    <row r="156" spans="1:87" ht="13.5">
      <c r="A156" s="32"/>
      <c r="B156" s="32"/>
      <c r="C156" s="26"/>
      <c r="D156" s="26"/>
      <c r="E156" s="246"/>
      <c r="F156" s="111"/>
      <c r="G156" s="23"/>
      <c r="H156" s="23"/>
      <c r="I156" s="23"/>
      <c r="J156" s="246"/>
      <c r="K156" s="158"/>
      <c r="L156" s="153"/>
      <c r="M156" s="153"/>
      <c r="N156" s="24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3"/>
      <c r="BA156" s="23"/>
      <c r="BB156" s="23"/>
      <c r="BC156" s="23"/>
      <c r="BD156" s="23"/>
      <c r="BE156" s="23"/>
      <c r="BF156" s="23"/>
      <c r="BG156" s="23"/>
      <c r="BH156" s="23"/>
      <c r="BI156" s="23"/>
      <c r="BJ156" s="23"/>
      <c r="BK156" s="23"/>
      <c r="BL156" s="23"/>
      <c r="BM156" s="23"/>
      <c r="BN156" s="23"/>
      <c r="BO156" s="23"/>
      <c r="BP156" s="23"/>
      <c r="BQ156" s="23"/>
      <c r="BR156" s="23"/>
      <c r="BS156" s="23"/>
      <c r="BT156" s="23"/>
      <c r="BU156" s="23"/>
      <c r="BV156" s="23"/>
      <c r="BW156" s="23"/>
      <c r="BX156" s="23"/>
      <c r="BY156" s="23"/>
      <c r="BZ156" s="23"/>
      <c r="CA156" s="23"/>
      <c r="CB156" s="23"/>
      <c r="CC156" s="23"/>
      <c r="CD156" s="23"/>
      <c r="CE156" s="23"/>
      <c r="CF156" s="23"/>
      <c r="CG156" s="23"/>
      <c r="CH156" s="23"/>
      <c r="CI156" s="112"/>
    </row>
    <row r="157" spans="1:87" ht="13.5">
      <c r="A157" s="271" t="s">
        <v>269</v>
      </c>
      <c r="B157" s="32"/>
      <c r="C157" s="26"/>
      <c r="D157" s="26"/>
      <c r="E157" s="246"/>
      <c r="F157" s="111"/>
      <c r="G157" s="23"/>
      <c r="H157" s="23"/>
      <c r="I157" s="23"/>
      <c r="J157" s="246"/>
      <c r="K157" s="32"/>
      <c r="L157" s="26"/>
      <c r="M157" s="26"/>
      <c r="N157" s="24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3"/>
      <c r="BA157" s="23"/>
      <c r="BB157" s="23"/>
      <c r="BC157" s="23"/>
      <c r="BD157" s="23"/>
      <c r="BE157" s="23"/>
      <c r="BF157" s="23"/>
      <c r="BG157" s="23"/>
      <c r="BH157" s="23"/>
      <c r="BI157" s="23"/>
      <c r="BJ157" s="23"/>
      <c r="BK157" s="23"/>
      <c r="BL157" s="23"/>
      <c r="BM157" s="23"/>
      <c r="BN157" s="23"/>
      <c r="BO157" s="23"/>
      <c r="BP157" s="23"/>
      <c r="BQ157" s="23"/>
      <c r="BR157" s="23"/>
      <c r="BS157" s="23"/>
      <c r="BT157" s="23"/>
      <c r="BU157" s="23"/>
      <c r="BV157" s="23"/>
      <c r="BW157" s="23"/>
      <c r="BX157" s="23"/>
      <c r="BY157" s="23"/>
      <c r="BZ157" s="23"/>
      <c r="CA157" s="23"/>
      <c r="CB157" s="23"/>
      <c r="CC157" s="23"/>
      <c r="CD157" s="23"/>
      <c r="CE157" s="23"/>
      <c r="CF157" s="23"/>
      <c r="CG157" s="23"/>
      <c r="CH157" s="23"/>
      <c r="CI157" s="112"/>
    </row>
    <row r="158" spans="1:114" s="52" customFormat="1" ht="12.75" customHeight="1">
      <c r="A158" s="38" t="s">
        <v>65</v>
      </c>
      <c r="B158" s="236">
        <v>1</v>
      </c>
      <c r="C158" s="237">
        <v>1</v>
      </c>
      <c r="D158" s="237">
        <v>1</v>
      </c>
      <c r="E158" s="248"/>
      <c r="F158" s="213">
        <f>F99</f>
        <v>40000</v>
      </c>
      <c r="G158" s="116">
        <f>F158</f>
        <v>40000</v>
      </c>
      <c r="H158" s="116">
        <f>G158*(1+C5)</f>
        <v>41200</v>
      </c>
      <c r="I158" s="116">
        <f>H158*(1+D5)</f>
        <v>42436</v>
      </c>
      <c r="J158" s="248"/>
      <c r="K158" s="214">
        <f>SUM(AZ158:BK158)</f>
        <v>29999.999999999996</v>
      </c>
      <c r="L158" s="215">
        <f>SUM(BL158:BW158)</f>
        <v>41200</v>
      </c>
      <c r="M158" s="215">
        <f>SUM(BX158:CI158)</f>
        <v>42436</v>
      </c>
      <c r="N158" s="248"/>
      <c r="O158" s="52">
        <v>0</v>
      </c>
      <c r="P158" s="52">
        <v>0</v>
      </c>
      <c r="Q158" s="52">
        <v>0</v>
      </c>
      <c r="R158" s="52">
        <f aca="true" t="shared" si="339" ref="R158:Z158">$B$158</f>
        <v>1</v>
      </c>
      <c r="S158" s="52">
        <f t="shared" si="339"/>
        <v>1</v>
      </c>
      <c r="T158" s="52">
        <f t="shared" si="339"/>
        <v>1</v>
      </c>
      <c r="U158" s="52">
        <f t="shared" si="339"/>
        <v>1</v>
      </c>
      <c r="V158" s="52">
        <f t="shared" si="339"/>
        <v>1</v>
      </c>
      <c r="W158" s="52">
        <f t="shared" si="339"/>
        <v>1</v>
      </c>
      <c r="X158" s="52">
        <f t="shared" si="339"/>
        <v>1</v>
      </c>
      <c r="Y158" s="52">
        <f t="shared" si="339"/>
        <v>1</v>
      </c>
      <c r="Z158" s="52">
        <f t="shared" si="339"/>
        <v>1</v>
      </c>
      <c r="AA158" s="52">
        <f>$C$158</f>
        <v>1</v>
      </c>
      <c r="AB158" s="52">
        <f aca="true" t="shared" si="340" ref="AB158:AL158">$C$158</f>
        <v>1</v>
      </c>
      <c r="AC158" s="52">
        <f t="shared" si="340"/>
        <v>1</v>
      </c>
      <c r="AD158" s="52">
        <f t="shared" si="340"/>
        <v>1</v>
      </c>
      <c r="AE158" s="52">
        <f t="shared" si="340"/>
        <v>1</v>
      </c>
      <c r="AF158" s="52">
        <f t="shared" si="340"/>
        <v>1</v>
      </c>
      <c r="AG158" s="52">
        <f t="shared" si="340"/>
        <v>1</v>
      </c>
      <c r="AH158" s="52">
        <f t="shared" si="340"/>
        <v>1</v>
      </c>
      <c r="AI158" s="52">
        <f t="shared" si="340"/>
        <v>1</v>
      </c>
      <c r="AJ158" s="52">
        <f t="shared" si="340"/>
        <v>1</v>
      </c>
      <c r="AK158" s="52">
        <f t="shared" si="340"/>
        <v>1</v>
      </c>
      <c r="AL158" s="52">
        <f t="shared" si="340"/>
        <v>1</v>
      </c>
      <c r="AM158" s="52">
        <f>$D$158</f>
        <v>1</v>
      </c>
      <c r="AN158" s="52">
        <f aca="true" t="shared" si="341" ref="AN158:AX158">$D$158</f>
        <v>1</v>
      </c>
      <c r="AO158" s="52">
        <f t="shared" si="341"/>
        <v>1</v>
      </c>
      <c r="AP158" s="52">
        <f t="shared" si="341"/>
        <v>1</v>
      </c>
      <c r="AQ158" s="52">
        <f t="shared" si="341"/>
        <v>1</v>
      </c>
      <c r="AR158" s="52">
        <f t="shared" si="341"/>
        <v>1</v>
      </c>
      <c r="AS158" s="52">
        <f t="shared" si="341"/>
        <v>1</v>
      </c>
      <c r="AT158" s="52">
        <f t="shared" si="341"/>
        <v>1</v>
      </c>
      <c r="AU158" s="52">
        <f t="shared" si="341"/>
        <v>1</v>
      </c>
      <c r="AV158" s="52">
        <f t="shared" si="341"/>
        <v>1</v>
      </c>
      <c r="AW158" s="52">
        <f t="shared" si="341"/>
        <v>1</v>
      </c>
      <c r="AX158" s="52">
        <f t="shared" si="341"/>
        <v>1</v>
      </c>
      <c r="AZ158" s="116">
        <f>($G$158/12)*O158</f>
        <v>0</v>
      </c>
      <c r="BA158" s="116">
        <f aca="true" t="shared" si="342" ref="BA158:BK158">($G$158/12)*P158</f>
        <v>0</v>
      </c>
      <c r="BB158" s="116">
        <f t="shared" si="342"/>
        <v>0</v>
      </c>
      <c r="BC158" s="116">
        <f t="shared" si="342"/>
        <v>3333.3333333333335</v>
      </c>
      <c r="BD158" s="116">
        <f t="shared" si="342"/>
        <v>3333.3333333333335</v>
      </c>
      <c r="BE158" s="116">
        <f t="shared" si="342"/>
        <v>3333.3333333333335</v>
      </c>
      <c r="BF158" s="116">
        <f t="shared" si="342"/>
        <v>3333.3333333333335</v>
      </c>
      <c r="BG158" s="116">
        <f t="shared" si="342"/>
        <v>3333.3333333333335</v>
      </c>
      <c r="BH158" s="116">
        <f t="shared" si="342"/>
        <v>3333.3333333333335</v>
      </c>
      <c r="BI158" s="116">
        <f t="shared" si="342"/>
        <v>3333.3333333333335</v>
      </c>
      <c r="BJ158" s="116">
        <f t="shared" si="342"/>
        <v>3333.3333333333335</v>
      </c>
      <c r="BK158" s="116">
        <f t="shared" si="342"/>
        <v>3333.3333333333335</v>
      </c>
      <c r="BL158" s="116">
        <f>($H$158/12)*AA158</f>
        <v>3433.3333333333335</v>
      </c>
      <c r="BM158" s="116">
        <f aca="true" t="shared" si="343" ref="BM158:BW158">($H$158/12)*AB158</f>
        <v>3433.3333333333335</v>
      </c>
      <c r="BN158" s="116">
        <f t="shared" si="343"/>
        <v>3433.3333333333335</v>
      </c>
      <c r="BO158" s="116">
        <f t="shared" si="343"/>
        <v>3433.3333333333335</v>
      </c>
      <c r="BP158" s="116">
        <f t="shared" si="343"/>
        <v>3433.3333333333335</v>
      </c>
      <c r="BQ158" s="116">
        <f t="shared" si="343"/>
        <v>3433.3333333333335</v>
      </c>
      <c r="BR158" s="116">
        <f t="shared" si="343"/>
        <v>3433.3333333333335</v>
      </c>
      <c r="BS158" s="116">
        <f t="shared" si="343"/>
        <v>3433.3333333333335</v>
      </c>
      <c r="BT158" s="116">
        <f t="shared" si="343"/>
        <v>3433.3333333333335</v>
      </c>
      <c r="BU158" s="116">
        <f t="shared" si="343"/>
        <v>3433.3333333333335</v>
      </c>
      <c r="BV158" s="116">
        <f t="shared" si="343"/>
        <v>3433.3333333333335</v>
      </c>
      <c r="BW158" s="116">
        <f t="shared" si="343"/>
        <v>3433.3333333333335</v>
      </c>
      <c r="BX158" s="116">
        <f>($I$158/12)*AM158</f>
        <v>3536.3333333333335</v>
      </c>
      <c r="BY158" s="116">
        <f aca="true" t="shared" si="344" ref="BY158:CI158">($I$158/12)*AN158</f>
        <v>3536.3333333333335</v>
      </c>
      <c r="BZ158" s="116">
        <f t="shared" si="344"/>
        <v>3536.3333333333335</v>
      </c>
      <c r="CA158" s="116">
        <f t="shared" si="344"/>
        <v>3536.3333333333335</v>
      </c>
      <c r="CB158" s="116">
        <f t="shared" si="344"/>
        <v>3536.3333333333335</v>
      </c>
      <c r="CC158" s="116">
        <f t="shared" si="344"/>
        <v>3536.3333333333335</v>
      </c>
      <c r="CD158" s="116">
        <f t="shared" si="344"/>
        <v>3536.3333333333335</v>
      </c>
      <c r="CE158" s="116">
        <f t="shared" si="344"/>
        <v>3536.3333333333335</v>
      </c>
      <c r="CF158" s="116">
        <f t="shared" si="344"/>
        <v>3536.3333333333335</v>
      </c>
      <c r="CG158" s="116">
        <f t="shared" si="344"/>
        <v>3536.3333333333335</v>
      </c>
      <c r="CH158" s="116">
        <f t="shared" si="344"/>
        <v>3536.3333333333335</v>
      </c>
      <c r="CI158" s="119">
        <f t="shared" si="344"/>
        <v>3536.3333333333335</v>
      </c>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c r="DG158" s="116"/>
      <c r="DH158" s="116"/>
      <c r="DI158" s="116"/>
      <c r="DJ158" s="116"/>
    </row>
    <row r="159" spans="1:114" s="52" customFormat="1" ht="12.75" customHeight="1">
      <c r="A159" s="38" t="s">
        <v>195</v>
      </c>
      <c r="B159" s="38">
        <f>SUM(B158:B158)</f>
        <v>1</v>
      </c>
      <c r="C159" s="52">
        <f>SUM(C158:C158)</f>
        <v>1</v>
      </c>
      <c r="D159" s="52">
        <f>SUM(D158:D158)</f>
        <v>1</v>
      </c>
      <c r="E159" s="248"/>
      <c r="F159" s="118"/>
      <c r="G159" s="116"/>
      <c r="H159" s="116"/>
      <c r="I159" s="116"/>
      <c r="J159" s="248"/>
      <c r="K159" s="214">
        <f>SUM(K158:K158)</f>
        <v>29999.999999999996</v>
      </c>
      <c r="L159" s="215">
        <f>SUM(L158:L158)</f>
        <v>41200</v>
      </c>
      <c r="M159" s="215">
        <f>SUM(M158:M158)</f>
        <v>42436</v>
      </c>
      <c r="N159" s="248"/>
      <c r="O159" s="52">
        <f aca="true" t="shared" si="345" ref="O159:AX159">SUM(O158:O158)</f>
        <v>0</v>
      </c>
      <c r="P159" s="52">
        <f t="shared" si="345"/>
        <v>0</v>
      </c>
      <c r="Q159" s="52">
        <f t="shared" si="345"/>
        <v>0</v>
      </c>
      <c r="R159" s="52">
        <f t="shared" si="345"/>
        <v>1</v>
      </c>
      <c r="S159" s="52">
        <f t="shared" si="345"/>
        <v>1</v>
      </c>
      <c r="T159" s="52">
        <f t="shared" si="345"/>
        <v>1</v>
      </c>
      <c r="U159" s="52">
        <f t="shared" si="345"/>
        <v>1</v>
      </c>
      <c r="V159" s="52">
        <f t="shared" si="345"/>
        <v>1</v>
      </c>
      <c r="W159" s="52">
        <f t="shared" si="345"/>
        <v>1</v>
      </c>
      <c r="X159" s="52">
        <f t="shared" si="345"/>
        <v>1</v>
      </c>
      <c r="Y159" s="52">
        <f t="shared" si="345"/>
        <v>1</v>
      </c>
      <c r="Z159" s="52">
        <f t="shared" si="345"/>
        <v>1</v>
      </c>
      <c r="AA159" s="52">
        <f t="shared" si="345"/>
        <v>1</v>
      </c>
      <c r="AB159" s="52">
        <f t="shared" si="345"/>
        <v>1</v>
      </c>
      <c r="AC159" s="52">
        <f t="shared" si="345"/>
        <v>1</v>
      </c>
      <c r="AD159" s="52">
        <f t="shared" si="345"/>
        <v>1</v>
      </c>
      <c r="AE159" s="52">
        <f t="shared" si="345"/>
        <v>1</v>
      </c>
      <c r="AF159" s="52">
        <f t="shared" si="345"/>
        <v>1</v>
      </c>
      <c r="AG159" s="52">
        <f t="shared" si="345"/>
        <v>1</v>
      </c>
      <c r="AH159" s="52">
        <f t="shared" si="345"/>
        <v>1</v>
      </c>
      <c r="AI159" s="52">
        <f t="shared" si="345"/>
        <v>1</v>
      </c>
      <c r="AJ159" s="52">
        <f t="shared" si="345"/>
        <v>1</v>
      </c>
      <c r="AK159" s="52">
        <f t="shared" si="345"/>
        <v>1</v>
      </c>
      <c r="AL159" s="52">
        <f t="shared" si="345"/>
        <v>1</v>
      </c>
      <c r="AM159" s="52">
        <f t="shared" si="345"/>
        <v>1</v>
      </c>
      <c r="AN159" s="52">
        <f t="shared" si="345"/>
        <v>1</v>
      </c>
      <c r="AO159" s="52">
        <f t="shared" si="345"/>
        <v>1</v>
      </c>
      <c r="AP159" s="52">
        <f t="shared" si="345"/>
        <v>1</v>
      </c>
      <c r="AQ159" s="52">
        <f t="shared" si="345"/>
        <v>1</v>
      </c>
      <c r="AR159" s="52">
        <f t="shared" si="345"/>
        <v>1</v>
      </c>
      <c r="AS159" s="52">
        <f t="shared" si="345"/>
        <v>1</v>
      </c>
      <c r="AT159" s="52">
        <f t="shared" si="345"/>
        <v>1</v>
      </c>
      <c r="AU159" s="52">
        <f t="shared" si="345"/>
        <v>1</v>
      </c>
      <c r="AV159" s="52">
        <f t="shared" si="345"/>
        <v>1</v>
      </c>
      <c r="AW159" s="52">
        <f t="shared" si="345"/>
        <v>1</v>
      </c>
      <c r="AX159" s="52">
        <f t="shared" si="345"/>
        <v>1</v>
      </c>
      <c r="AZ159" s="116">
        <f aca="true" t="shared" si="346" ref="AZ159:CI159">SUM(AZ158:AZ158)</f>
        <v>0</v>
      </c>
      <c r="BA159" s="116">
        <f t="shared" si="346"/>
        <v>0</v>
      </c>
      <c r="BB159" s="116">
        <f t="shared" si="346"/>
        <v>0</v>
      </c>
      <c r="BC159" s="116">
        <f t="shared" si="346"/>
        <v>3333.3333333333335</v>
      </c>
      <c r="BD159" s="116">
        <f t="shared" si="346"/>
        <v>3333.3333333333335</v>
      </c>
      <c r="BE159" s="116">
        <f t="shared" si="346"/>
        <v>3333.3333333333335</v>
      </c>
      <c r="BF159" s="116">
        <f t="shared" si="346"/>
        <v>3333.3333333333335</v>
      </c>
      <c r="BG159" s="116">
        <f t="shared" si="346"/>
        <v>3333.3333333333335</v>
      </c>
      <c r="BH159" s="116">
        <f t="shared" si="346"/>
        <v>3333.3333333333335</v>
      </c>
      <c r="BI159" s="116">
        <f t="shared" si="346"/>
        <v>3333.3333333333335</v>
      </c>
      <c r="BJ159" s="116">
        <f t="shared" si="346"/>
        <v>3333.3333333333335</v>
      </c>
      <c r="BK159" s="116">
        <f t="shared" si="346"/>
        <v>3333.3333333333335</v>
      </c>
      <c r="BL159" s="116">
        <f t="shared" si="346"/>
        <v>3433.3333333333335</v>
      </c>
      <c r="BM159" s="116">
        <f t="shared" si="346"/>
        <v>3433.3333333333335</v>
      </c>
      <c r="BN159" s="116">
        <f t="shared" si="346"/>
        <v>3433.3333333333335</v>
      </c>
      <c r="BO159" s="116">
        <f t="shared" si="346"/>
        <v>3433.3333333333335</v>
      </c>
      <c r="BP159" s="116">
        <f t="shared" si="346"/>
        <v>3433.3333333333335</v>
      </c>
      <c r="BQ159" s="116">
        <f t="shared" si="346"/>
        <v>3433.3333333333335</v>
      </c>
      <c r="BR159" s="116">
        <f t="shared" si="346"/>
        <v>3433.3333333333335</v>
      </c>
      <c r="BS159" s="116">
        <f t="shared" si="346"/>
        <v>3433.3333333333335</v>
      </c>
      <c r="BT159" s="116">
        <f t="shared" si="346"/>
        <v>3433.3333333333335</v>
      </c>
      <c r="BU159" s="116">
        <f t="shared" si="346"/>
        <v>3433.3333333333335</v>
      </c>
      <c r="BV159" s="116">
        <f t="shared" si="346"/>
        <v>3433.3333333333335</v>
      </c>
      <c r="BW159" s="116">
        <f t="shared" si="346"/>
        <v>3433.3333333333335</v>
      </c>
      <c r="BX159" s="116">
        <f t="shared" si="346"/>
        <v>3536.3333333333335</v>
      </c>
      <c r="BY159" s="116">
        <f t="shared" si="346"/>
        <v>3536.3333333333335</v>
      </c>
      <c r="BZ159" s="116">
        <f t="shared" si="346"/>
        <v>3536.3333333333335</v>
      </c>
      <c r="CA159" s="116">
        <f t="shared" si="346"/>
        <v>3536.3333333333335</v>
      </c>
      <c r="CB159" s="116">
        <f t="shared" si="346"/>
        <v>3536.3333333333335</v>
      </c>
      <c r="CC159" s="116">
        <f t="shared" si="346"/>
        <v>3536.3333333333335</v>
      </c>
      <c r="CD159" s="116">
        <f t="shared" si="346"/>
        <v>3536.3333333333335</v>
      </c>
      <c r="CE159" s="116">
        <f t="shared" si="346"/>
        <v>3536.3333333333335</v>
      </c>
      <c r="CF159" s="116">
        <f t="shared" si="346"/>
        <v>3536.3333333333335</v>
      </c>
      <c r="CG159" s="116">
        <f t="shared" si="346"/>
        <v>3536.3333333333335</v>
      </c>
      <c r="CH159" s="116">
        <f t="shared" si="346"/>
        <v>3536.3333333333335</v>
      </c>
      <c r="CI159" s="119">
        <f t="shared" si="346"/>
        <v>3536.3333333333335</v>
      </c>
      <c r="CJ159" s="116"/>
      <c r="CK159" s="116"/>
      <c r="CL159" s="116"/>
      <c r="CM159" s="116"/>
      <c r="CN159" s="116"/>
      <c r="CO159" s="116"/>
      <c r="CP159" s="116"/>
      <c r="CQ159" s="116"/>
      <c r="CR159" s="116"/>
      <c r="CS159" s="116"/>
      <c r="CT159" s="116"/>
      <c r="CU159" s="116"/>
      <c r="CV159" s="116"/>
      <c r="CW159" s="116"/>
      <c r="CX159" s="116"/>
      <c r="CY159" s="116"/>
      <c r="CZ159" s="116"/>
      <c r="DA159" s="116"/>
      <c r="DB159" s="116"/>
      <c r="DC159" s="116"/>
      <c r="DD159" s="116"/>
      <c r="DE159" s="116"/>
      <c r="DF159" s="116"/>
      <c r="DG159" s="116"/>
      <c r="DH159" s="116"/>
      <c r="DI159" s="116"/>
      <c r="DJ159" s="116"/>
    </row>
    <row r="160" spans="1:114" s="26" customFormat="1" ht="12.75" customHeight="1">
      <c r="A160" s="211" t="s">
        <v>407</v>
      </c>
      <c r="B160" s="32"/>
      <c r="E160" s="246"/>
      <c r="F160" s="111"/>
      <c r="G160" s="23"/>
      <c r="H160" s="23"/>
      <c r="I160" s="23"/>
      <c r="J160" s="246"/>
      <c r="K160" s="158">
        <f>K159*B6</f>
        <v>7499.999999999999</v>
      </c>
      <c r="L160" s="153">
        <f>L159*C6</f>
        <v>10300</v>
      </c>
      <c r="M160" s="153">
        <f>M159*D6</f>
        <v>10609</v>
      </c>
      <c r="N160" s="246"/>
      <c r="AZ160" s="23">
        <f>AZ159*$B$6</f>
        <v>0</v>
      </c>
      <c r="BA160" s="23">
        <f aca="true" t="shared" si="347" ref="BA160:BK160">BA159*$B$6</f>
        <v>0</v>
      </c>
      <c r="BB160" s="23">
        <f t="shared" si="347"/>
        <v>0</v>
      </c>
      <c r="BC160" s="23">
        <f t="shared" si="347"/>
        <v>833.3333333333334</v>
      </c>
      <c r="BD160" s="23">
        <f t="shared" si="347"/>
        <v>833.3333333333334</v>
      </c>
      <c r="BE160" s="23">
        <f t="shared" si="347"/>
        <v>833.3333333333334</v>
      </c>
      <c r="BF160" s="23">
        <f t="shared" si="347"/>
        <v>833.3333333333334</v>
      </c>
      <c r="BG160" s="23">
        <f t="shared" si="347"/>
        <v>833.3333333333334</v>
      </c>
      <c r="BH160" s="23">
        <f t="shared" si="347"/>
        <v>833.3333333333334</v>
      </c>
      <c r="BI160" s="23">
        <f t="shared" si="347"/>
        <v>833.3333333333334</v>
      </c>
      <c r="BJ160" s="23">
        <f t="shared" si="347"/>
        <v>833.3333333333334</v>
      </c>
      <c r="BK160" s="23">
        <f t="shared" si="347"/>
        <v>833.3333333333334</v>
      </c>
      <c r="BL160" s="23">
        <f>BL159*$C$6</f>
        <v>858.3333333333334</v>
      </c>
      <c r="BM160" s="23">
        <f aca="true" t="shared" si="348" ref="BM160:BW160">BM159*$C$6</f>
        <v>858.3333333333334</v>
      </c>
      <c r="BN160" s="23">
        <f t="shared" si="348"/>
        <v>858.3333333333334</v>
      </c>
      <c r="BO160" s="23">
        <f t="shared" si="348"/>
        <v>858.3333333333334</v>
      </c>
      <c r="BP160" s="23">
        <f t="shared" si="348"/>
        <v>858.3333333333334</v>
      </c>
      <c r="BQ160" s="23">
        <f t="shared" si="348"/>
        <v>858.3333333333334</v>
      </c>
      <c r="BR160" s="23">
        <f t="shared" si="348"/>
        <v>858.3333333333334</v>
      </c>
      <c r="BS160" s="23">
        <f t="shared" si="348"/>
        <v>858.3333333333334</v>
      </c>
      <c r="BT160" s="23">
        <f t="shared" si="348"/>
        <v>858.3333333333334</v>
      </c>
      <c r="BU160" s="23">
        <f t="shared" si="348"/>
        <v>858.3333333333334</v>
      </c>
      <c r="BV160" s="23">
        <f t="shared" si="348"/>
        <v>858.3333333333334</v>
      </c>
      <c r="BW160" s="23">
        <f t="shared" si="348"/>
        <v>858.3333333333334</v>
      </c>
      <c r="BX160" s="23">
        <f>BX159*$D$6</f>
        <v>884.0833333333334</v>
      </c>
      <c r="BY160" s="23">
        <f aca="true" t="shared" si="349" ref="BY160:CI160">BY159*$D$6</f>
        <v>884.0833333333334</v>
      </c>
      <c r="BZ160" s="23">
        <f t="shared" si="349"/>
        <v>884.0833333333334</v>
      </c>
      <c r="CA160" s="23">
        <f t="shared" si="349"/>
        <v>884.0833333333334</v>
      </c>
      <c r="CB160" s="23">
        <f t="shared" si="349"/>
        <v>884.0833333333334</v>
      </c>
      <c r="CC160" s="23">
        <f t="shared" si="349"/>
        <v>884.0833333333334</v>
      </c>
      <c r="CD160" s="23">
        <f t="shared" si="349"/>
        <v>884.0833333333334</v>
      </c>
      <c r="CE160" s="23">
        <f t="shared" si="349"/>
        <v>884.0833333333334</v>
      </c>
      <c r="CF160" s="23">
        <f t="shared" si="349"/>
        <v>884.0833333333334</v>
      </c>
      <c r="CG160" s="23">
        <f t="shared" si="349"/>
        <v>884.0833333333334</v>
      </c>
      <c r="CH160" s="23">
        <f t="shared" si="349"/>
        <v>884.0833333333334</v>
      </c>
      <c r="CI160" s="112">
        <f t="shared" si="349"/>
        <v>884.0833333333334</v>
      </c>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row>
    <row r="161" spans="1:114" s="26" customFormat="1" ht="12.75" customHeight="1" thickBot="1">
      <c r="A161" s="265" t="s">
        <v>329</v>
      </c>
      <c r="B161" s="159"/>
      <c r="C161" s="138"/>
      <c r="D161" s="138"/>
      <c r="E161" s="256"/>
      <c r="F161" s="125"/>
      <c r="G161" s="126"/>
      <c r="H161" s="126"/>
      <c r="I161" s="126"/>
      <c r="J161" s="256"/>
      <c r="K161" s="257">
        <f>K159+K160</f>
        <v>37499.99999999999</v>
      </c>
      <c r="L161" s="258">
        <f>L159+L160</f>
        <v>51500</v>
      </c>
      <c r="M161" s="258">
        <f>M159+M160</f>
        <v>53045</v>
      </c>
      <c r="N161" s="256"/>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26">
        <f aca="true" t="shared" si="350" ref="AZ161:CI161">AZ159+AZ160</f>
        <v>0</v>
      </c>
      <c r="BA161" s="126">
        <f t="shared" si="350"/>
        <v>0</v>
      </c>
      <c r="BB161" s="126">
        <f t="shared" si="350"/>
        <v>0</v>
      </c>
      <c r="BC161" s="126">
        <f t="shared" si="350"/>
        <v>4166.666666666667</v>
      </c>
      <c r="BD161" s="126">
        <f t="shared" si="350"/>
        <v>4166.666666666667</v>
      </c>
      <c r="BE161" s="126">
        <f t="shared" si="350"/>
        <v>4166.666666666667</v>
      </c>
      <c r="BF161" s="126">
        <f t="shared" si="350"/>
        <v>4166.666666666667</v>
      </c>
      <c r="BG161" s="126">
        <f t="shared" si="350"/>
        <v>4166.666666666667</v>
      </c>
      <c r="BH161" s="126">
        <f t="shared" si="350"/>
        <v>4166.666666666667</v>
      </c>
      <c r="BI161" s="126">
        <f t="shared" si="350"/>
        <v>4166.666666666667</v>
      </c>
      <c r="BJ161" s="126">
        <f t="shared" si="350"/>
        <v>4166.666666666667</v>
      </c>
      <c r="BK161" s="126">
        <f t="shared" si="350"/>
        <v>4166.666666666667</v>
      </c>
      <c r="BL161" s="126">
        <f t="shared" si="350"/>
        <v>4291.666666666667</v>
      </c>
      <c r="BM161" s="126">
        <f t="shared" si="350"/>
        <v>4291.666666666667</v>
      </c>
      <c r="BN161" s="126">
        <f t="shared" si="350"/>
        <v>4291.666666666667</v>
      </c>
      <c r="BO161" s="126">
        <f t="shared" si="350"/>
        <v>4291.666666666667</v>
      </c>
      <c r="BP161" s="126">
        <f t="shared" si="350"/>
        <v>4291.666666666667</v>
      </c>
      <c r="BQ161" s="126">
        <f t="shared" si="350"/>
        <v>4291.666666666667</v>
      </c>
      <c r="BR161" s="126">
        <f t="shared" si="350"/>
        <v>4291.666666666667</v>
      </c>
      <c r="BS161" s="126">
        <f t="shared" si="350"/>
        <v>4291.666666666667</v>
      </c>
      <c r="BT161" s="126">
        <f t="shared" si="350"/>
        <v>4291.666666666667</v>
      </c>
      <c r="BU161" s="126">
        <f t="shared" si="350"/>
        <v>4291.666666666667</v>
      </c>
      <c r="BV161" s="126">
        <f t="shared" si="350"/>
        <v>4291.666666666667</v>
      </c>
      <c r="BW161" s="126">
        <f t="shared" si="350"/>
        <v>4291.666666666667</v>
      </c>
      <c r="BX161" s="126">
        <f t="shared" si="350"/>
        <v>4420.416666666667</v>
      </c>
      <c r="BY161" s="126">
        <f t="shared" si="350"/>
        <v>4420.416666666667</v>
      </c>
      <c r="BZ161" s="126">
        <f t="shared" si="350"/>
        <v>4420.416666666667</v>
      </c>
      <c r="CA161" s="126">
        <f t="shared" si="350"/>
        <v>4420.416666666667</v>
      </c>
      <c r="CB161" s="126">
        <f t="shared" si="350"/>
        <v>4420.416666666667</v>
      </c>
      <c r="CC161" s="126">
        <f t="shared" si="350"/>
        <v>4420.416666666667</v>
      </c>
      <c r="CD161" s="126">
        <f t="shared" si="350"/>
        <v>4420.416666666667</v>
      </c>
      <c r="CE161" s="126">
        <f t="shared" si="350"/>
        <v>4420.416666666667</v>
      </c>
      <c r="CF161" s="126">
        <f t="shared" si="350"/>
        <v>4420.416666666667</v>
      </c>
      <c r="CG161" s="126">
        <f t="shared" si="350"/>
        <v>4420.416666666667</v>
      </c>
      <c r="CH161" s="126">
        <f t="shared" si="350"/>
        <v>4420.416666666667</v>
      </c>
      <c r="CI161" s="127">
        <f t="shared" si="350"/>
        <v>4420.416666666667</v>
      </c>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row>
    <row r="162" spans="6:87" s="45" customFormat="1" ht="12.75" customHeight="1">
      <c r="F162" s="183"/>
      <c r="G162" s="183"/>
      <c r="H162" s="183"/>
      <c r="I162" s="183"/>
      <c r="AZ162" s="183"/>
      <c r="BA162" s="183"/>
      <c r="BB162" s="183"/>
      <c r="BC162" s="183"/>
      <c r="BD162" s="183"/>
      <c r="BE162" s="183"/>
      <c r="BF162" s="183"/>
      <c r="BG162" s="183"/>
      <c r="BH162" s="183"/>
      <c r="BI162" s="183"/>
      <c r="BJ162" s="183"/>
      <c r="BK162" s="183"/>
      <c r="BL162" s="183"/>
      <c r="BM162" s="183"/>
      <c r="BN162" s="183"/>
      <c r="BO162" s="183"/>
      <c r="BP162" s="183"/>
      <c r="BQ162" s="183"/>
      <c r="BR162" s="183"/>
      <c r="BS162" s="183"/>
      <c r="BT162" s="183"/>
      <c r="BU162" s="183"/>
      <c r="BV162" s="183"/>
      <c r="BW162" s="183"/>
      <c r="BX162" s="183"/>
      <c r="BY162" s="183"/>
      <c r="BZ162" s="183"/>
      <c r="CA162" s="183"/>
      <c r="CB162" s="183"/>
      <c r="CC162" s="183"/>
      <c r="CD162" s="183"/>
      <c r="CE162" s="183"/>
      <c r="CF162" s="183"/>
      <c r="CG162" s="183"/>
      <c r="CH162" s="183"/>
      <c r="CI162" s="183"/>
    </row>
  </sheetData>
  <printOptions/>
  <pageMargins left="0.75" right="0.75" top="1" bottom="1" header="0.5" footer="0.5"/>
  <pageSetup orientation="landscape" scale="75"/>
  <headerFooter alignWithMargins="0">
    <oddHeader>&amp;C&amp;A&amp;RPage &amp;P</oddHeader>
  </headerFooter>
</worksheet>
</file>

<file path=xl/worksheets/sheet5.xml><?xml version="1.0" encoding="utf-8"?>
<worksheet xmlns="http://schemas.openxmlformats.org/spreadsheetml/2006/main" xmlns:r="http://schemas.openxmlformats.org/officeDocument/2006/relationships">
  <dimension ref="A2:BA83"/>
  <sheetViews>
    <sheetView zoomScale="110" zoomScaleNormal="110" workbookViewId="0" topLeftCell="A53">
      <selection activeCell="E82" sqref="E82"/>
    </sheetView>
  </sheetViews>
  <sheetFormatPr defaultColWidth="8.8515625" defaultRowHeight="12.75"/>
  <cols>
    <col min="1" max="1" width="26.8515625" style="30" bestFit="1" customWidth="1"/>
    <col min="2" max="2" width="10.00390625" style="30" bestFit="1" customWidth="1"/>
    <col min="3" max="3" width="10.28125" style="30" bestFit="1" customWidth="1"/>
    <col min="4" max="5" width="10.28125" style="30" customWidth="1"/>
    <col min="6" max="7" width="11.28125" style="30" customWidth="1"/>
    <col min="8" max="11" width="11.00390625" style="30" customWidth="1"/>
    <col min="12" max="13" width="11.00390625" style="30" bestFit="1" customWidth="1"/>
    <col min="14" max="24" width="11.28125" style="30" bestFit="1" customWidth="1"/>
    <col min="25" max="25" width="10.7109375" style="30" customWidth="1"/>
    <col min="26" max="28" width="11.28125" style="30" bestFit="1" customWidth="1"/>
    <col min="29" max="29" width="12.28125" style="30" customWidth="1"/>
    <col min="30" max="37" width="11.28125" style="30" bestFit="1" customWidth="1"/>
    <col min="38" max="38" width="11.140625" style="30" bestFit="1" customWidth="1"/>
    <col min="39" max="39" width="14.140625" style="30" customWidth="1"/>
    <col min="40" max="40" width="11.140625" style="30" bestFit="1" customWidth="1"/>
    <col min="41" max="41" width="15.28125" style="30" customWidth="1"/>
    <col min="42" max="50" width="11.140625" style="30" bestFit="1" customWidth="1"/>
    <col min="51" max="51" width="11.00390625" style="30" customWidth="1"/>
    <col min="52" max="52" width="11.140625" style="30" bestFit="1" customWidth="1"/>
    <col min="53" max="53" width="13.421875" style="30" customWidth="1"/>
    <col min="54" max="54" width="10.8515625" style="30" customWidth="1"/>
    <col min="55" max="55" width="11.140625" style="30" bestFit="1" customWidth="1"/>
    <col min="56" max="60" width="10.140625" style="30" bestFit="1" customWidth="1"/>
    <col min="61" max="61" width="11.140625" style="30" bestFit="1" customWidth="1"/>
    <col min="62" max="68" width="10.140625" style="30" bestFit="1" customWidth="1"/>
    <col min="69" max="16384" width="8.8515625" style="30" customWidth="1"/>
  </cols>
  <sheetData>
    <row r="1" ht="15" thickBot="1"/>
    <row r="2" spans="1:5" ht="13.5">
      <c r="A2" s="377" t="s">
        <v>521</v>
      </c>
      <c r="B2" s="378"/>
      <c r="C2" s="72" t="s">
        <v>196</v>
      </c>
      <c r="D2" s="72" t="s">
        <v>197</v>
      </c>
      <c r="E2" s="73" t="s">
        <v>198</v>
      </c>
    </row>
    <row r="3" spans="3:6" ht="13.5">
      <c r="C3" s="44"/>
      <c r="D3" s="44"/>
      <c r="E3" s="31"/>
      <c r="F3" s="44"/>
    </row>
    <row r="4" spans="1:6" ht="13.5">
      <c r="A4" s="379" t="s">
        <v>405</v>
      </c>
      <c r="B4" s="380"/>
      <c r="C4" s="46"/>
      <c r="D4" s="36"/>
      <c r="E4" s="13"/>
      <c r="F4" s="47"/>
    </row>
    <row r="5" spans="1:5" ht="13.5">
      <c r="A5" s="14" t="s">
        <v>409</v>
      </c>
      <c r="B5" s="48"/>
      <c r="C5" s="48">
        <f>M80</f>
        <v>1121444.3250000002</v>
      </c>
      <c r="D5" s="48">
        <f>Y80</f>
        <v>5361270.12</v>
      </c>
      <c r="E5" s="15">
        <f>AK80</f>
        <v>9591551.279999996</v>
      </c>
    </row>
    <row r="6" spans="1:5" ht="13.5">
      <c r="A6" s="16"/>
      <c r="B6" s="48"/>
      <c r="C6" s="48"/>
      <c r="D6" s="17">
        <f>(D5-C5)/C5</f>
        <v>3.7806832675353714</v>
      </c>
      <c r="E6" s="18">
        <f>(E5-D5)/D5</f>
        <v>0.7890445855766721</v>
      </c>
    </row>
    <row r="7" spans="1:5" ht="13.5">
      <c r="A7" s="16"/>
      <c r="B7" s="48"/>
      <c r="C7" s="48"/>
      <c r="D7" s="17"/>
      <c r="E7" s="18"/>
    </row>
    <row r="8" spans="1:5" ht="13.5">
      <c r="A8" s="24" t="s">
        <v>329</v>
      </c>
      <c r="B8" s="48"/>
      <c r="C8" s="48">
        <f>C5</f>
        <v>1121444.3250000002</v>
      </c>
      <c r="D8" s="48">
        <f>D5</f>
        <v>5361270.12</v>
      </c>
      <c r="E8" s="15">
        <f>E5</f>
        <v>9591551.279999996</v>
      </c>
    </row>
    <row r="9" spans="1:5" ht="15" thickBot="1">
      <c r="A9" s="19"/>
      <c r="B9" s="20"/>
      <c r="C9" s="20"/>
      <c r="D9" s="20"/>
      <c r="E9" s="21"/>
    </row>
    <row r="10" ht="15" thickBot="1"/>
    <row r="11" spans="3:4" ht="15" thickBot="1">
      <c r="C11" s="65"/>
      <c r="D11" s="30" t="s">
        <v>522</v>
      </c>
    </row>
    <row r="12" ht="15" thickBot="1"/>
    <row r="13" spans="1:51" ht="13.5">
      <c r="A13" s="70" t="s">
        <v>408</v>
      </c>
      <c r="B13" s="71"/>
      <c r="C13" s="72" t="s">
        <v>196</v>
      </c>
      <c r="D13" s="72" t="s">
        <v>197</v>
      </c>
      <c r="E13" s="73" t="s">
        <v>198</v>
      </c>
      <c r="F13" s="63" t="s">
        <v>523</v>
      </c>
      <c r="O13" s="48"/>
      <c r="AA13" s="48"/>
      <c r="AM13" s="48"/>
      <c r="AY13" s="48"/>
    </row>
    <row r="14" spans="1:51" ht="13.5">
      <c r="A14" s="16"/>
      <c r="B14" s="23"/>
      <c r="C14" s="48"/>
      <c r="D14" s="48"/>
      <c r="E14" s="15"/>
      <c r="O14" s="48"/>
      <c r="AA14" s="48"/>
      <c r="AM14" s="48"/>
      <c r="AY14" s="48"/>
    </row>
    <row r="15" spans="1:51" ht="13.5">
      <c r="A15" s="24" t="s">
        <v>524</v>
      </c>
      <c r="B15" s="23"/>
      <c r="C15" s="48"/>
      <c r="D15" s="48"/>
      <c r="E15" s="15"/>
      <c r="O15" s="48"/>
      <c r="AA15" s="48"/>
      <c r="AM15" s="48"/>
      <c r="AY15" s="48"/>
    </row>
    <row r="16" spans="1:51" ht="13.5">
      <c r="A16" s="16" t="s">
        <v>525</v>
      </c>
      <c r="B16" s="23"/>
      <c r="C16" s="66">
        <v>5000000</v>
      </c>
      <c r="D16" s="66">
        <v>5000000</v>
      </c>
      <c r="E16" s="67">
        <v>5000000</v>
      </c>
      <c r="O16" s="48"/>
      <c r="AA16" s="48"/>
      <c r="AM16" s="48"/>
      <c r="AY16" s="48"/>
    </row>
    <row r="17" spans="1:51" ht="13.5">
      <c r="A17" s="16" t="s">
        <v>526</v>
      </c>
      <c r="B17" s="23"/>
      <c r="C17" s="68">
        <v>0.8</v>
      </c>
      <c r="D17" s="68">
        <v>0.8</v>
      </c>
      <c r="E17" s="69">
        <v>0.8</v>
      </c>
      <c r="F17" s="30" t="s">
        <v>478</v>
      </c>
      <c r="O17" s="48"/>
      <c r="AA17" s="48"/>
      <c r="AM17" s="48"/>
      <c r="AY17" s="48"/>
    </row>
    <row r="18" spans="1:51" ht="13.5">
      <c r="A18" s="16" t="s">
        <v>527</v>
      </c>
      <c r="B18" s="23"/>
      <c r="C18" s="8">
        <v>0.2</v>
      </c>
      <c r="D18" s="8">
        <v>0.47</v>
      </c>
      <c r="E18" s="9">
        <v>0.7</v>
      </c>
      <c r="F18" s="30" t="s">
        <v>528</v>
      </c>
      <c r="O18" s="48"/>
      <c r="AA18" s="48"/>
      <c r="AM18" s="48"/>
      <c r="AY18" s="48"/>
    </row>
    <row r="19" spans="1:51" ht="13.5">
      <c r="A19" s="16"/>
      <c r="B19" s="23"/>
      <c r="C19" s="48"/>
      <c r="D19" s="48"/>
      <c r="E19" s="15"/>
      <c r="F19" s="341" t="s">
        <v>457</v>
      </c>
      <c r="O19" s="48"/>
      <c r="AA19" s="48"/>
      <c r="AM19" s="48"/>
      <c r="AY19" s="48"/>
    </row>
    <row r="20" spans="1:51" ht="13.5">
      <c r="A20" s="24" t="s">
        <v>328</v>
      </c>
      <c r="B20" s="10"/>
      <c r="C20" s="48"/>
      <c r="D20" s="48"/>
      <c r="E20" s="15"/>
      <c r="O20" s="48"/>
      <c r="AA20" s="48"/>
      <c r="AM20" s="48"/>
      <c r="AY20" s="48"/>
    </row>
    <row r="21" spans="1:51" ht="13.5">
      <c r="A21" s="16" t="s">
        <v>364</v>
      </c>
      <c r="B21" s="10"/>
      <c r="C21" s="48">
        <v>0</v>
      </c>
      <c r="D21" s="48"/>
      <c r="E21" s="15"/>
      <c r="O21" s="48"/>
      <c r="AA21" s="48"/>
      <c r="AM21" s="48"/>
      <c r="AY21" s="48"/>
    </row>
    <row r="22" spans="1:51" ht="13.5">
      <c r="A22" s="16" t="s">
        <v>365</v>
      </c>
      <c r="B22" s="10"/>
      <c r="C22" s="48">
        <f>C16*C17*C18</f>
        <v>800000</v>
      </c>
      <c r="D22" s="48">
        <f>D16*D17*D18</f>
        <v>1880000</v>
      </c>
      <c r="E22" s="15">
        <f>E16*E17*E18</f>
        <v>2800000</v>
      </c>
      <c r="O22" s="48"/>
      <c r="AA22" s="48"/>
      <c r="AM22" s="48"/>
      <c r="AY22" s="48"/>
    </row>
    <row r="23" spans="1:51" ht="13.5">
      <c r="A23" s="16" t="s">
        <v>243</v>
      </c>
      <c r="B23" s="11"/>
      <c r="C23" s="66">
        <v>12</v>
      </c>
      <c r="D23" s="66">
        <v>12</v>
      </c>
      <c r="E23" s="67">
        <v>12</v>
      </c>
      <c r="F23" s="30" t="s">
        <v>529</v>
      </c>
      <c r="O23" s="48"/>
      <c r="AA23" s="48"/>
      <c r="AM23" s="48"/>
      <c r="AY23" s="48"/>
    </row>
    <row r="24" spans="1:51" ht="13.5">
      <c r="A24" s="16"/>
      <c r="B24" s="11"/>
      <c r="C24" s="48"/>
      <c r="D24" s="48"/>
      <c r="E24" s="15"/>
      <c r="O24" s="48"/>
      <c r="AA24" s="48"/>
      <c r="AM24" s="48"/>
      <c r="AY24" s="48"/>
    </row>
    <row r="25" spans="1:51" ht="13.5">
      <c r="A25" s="24" t="s">
        <v>479</v>
      </c>
      <c r="B25" s="23"/>
      <c r="C25" s="48"/>
      <c r="D25" s="48"/>
      <c r="E25" s="15"/>
      <c r="O25" s="48"/>
      <c r="AA25" s="48"/>
      <c r="AM25" s="48"/>
      <c r="AY25" s="48"/>
    </row>
    <row r="26" spans="1:51" ht="13.5">
      <c r="A26" s="16" t="s">
        <v>367</v>
      </c>
      <c r="B26" s="23"/>
      <c r="C26" s="66">
        <v>3</v>
      </c>
      <c r="D26" s="66">
        <v>3</v>
      </c>
      <c r="E26" s="67">
        <v>3</v>
      </c>
      <c r="O26" s="48"/>
      <c r="AA26" s="48"/>
      <c r="AM26" s="48"/>
      <c r="AY26" s="48"/>
    </row>
    <row r="27" spans="1:51" ht="13.5">
      <c r="A27" s="16" t="s">
        <v>366</v>
      </c>
      <c r="B27" s="12"/>
      <c r="C27" s="74">
        <v>12</v>
      </c>
      <c r="D27" s="74">
        <v>12</v>
      </c>
      <c r="E27" s="75">
        <v>12</v>
      </c>
      <c r="F27" s="30" t="s">
        <v>530</v>
      </c>
      <c r="H27" s="10"/>
      <c r="O27" s="48"/>
      <c r="AA27" s="48"/>
      <c r="AM27" s="48"/>
      <c r="AY27" s="48"/>
    </row>
    <row r="28" spans="1:51" ht="13.5">
      <c r="A28" s="16" t="s">
        <v>458</v>
      </c>
      <c r="B28" s="23"/>
      <c r="C28" s="76">
        <v>0.5</v>
      </c>
      <c r="D28" s="76">
        <v>0.55</v>
      </c>
      <c r="E28" s="69">
        <v>0.6</v>
      </c>
      <c r="O28" s="48"/>
      <c r="AA28" s="48"/>
      <c r="AM28" s="48"/>
      <c r="AY28" s="48"/>
    </row>
    <row r="29" spans="1:51" ht="13.5">
      <c r="A29" s="5"/>
      <c r="B29" s="12"/>
      <c r="C29" s="48"/>
      <c r="D29" s="48"/>
      <c r="E29" s="15"/>
      <c r="H29" s="6"/>
      <c r="I29" s="10"/>
      <c r="O29" s="48"/>
      <c r="AA29" s="48"/>
      <c r="AM29" s="48"/>
      <c r="AY29" s="48"/>
    </row>
    <row r="30" spans="1:51" ht="13.5">
      <c r="A30" s="24" t="s">
        <v>531</v>
      </c>
      <c r="B30" s="12"/>
      <c r="C30" s="48"/>
      <c r="D30" s="48"/>
      <c r="E30" s="15"/>
      <c r="H30" s="6"/>
      <c r="I30" s="10"/>
      <c r="O30" s="48"/>
      <c r="AA30" s="48"/>
      <c r="AM30" s="48"/>
      <c r="AY30" s="48"/>
    </row>
    <row r="31" spans="1:51" ht="13.5">
      <c r="A31" s="16" t="s">
        <v>402</v>
      </c>
      <c r="B31" s="12"/>
      <c r="C31" s="74">
        <v>4.5</v>
      </c>
      <c r="D31" s="74">
        <v>4.5</v>
      </c>
      <c r="E31" s="75">
        <v>4.5</v>
      </c>
      <c r="F31" s="30" t="s">
        <v>530</v>
      </c>
      <c r="H31" s="6"/>
      <c r="I31" s="10"/>
      <c r="O31" s="48"/>
      <c r="AA31" s="48"/>
      <c r="AM31" s="48"/>
      <c r="AY31" s="48"/>
    </row>
    <row r="32" spans="1:51" ht="13.5">
      <c r="A32" s="16" t="s">
        <v>458</v>
      </c>
      <c r="B32" s="12"/>
      <c r="C32" s="76">
        <v>0.2</v>
      </c>
      <c r="D32" s="76">
        <v>0.17</v>
      </c>
      <c r="E32" s="69">
        <v>0.14</v>
      </c>
      <c r="H32" s="6"/>
      <c r="I32" s="10"/>
      <c r="O32" s="48"/>
      <c r="AA32" s="48"/>
      <c r="AM32" s="48"/>
      <c r="AY32" s="48"/>
    </row>
    <row r="33" spans="1:51" ht="13.5">
      <c r="A33" s="16"/>
      <c r="B33" s="12"/>
      <c r="C33" s="48"/>
      <c r="D33" s="48"/>
      <c r="E33" s="15"/>
      <c r="H33" s="6"/>
      <c r="I33" s="10"/>
      <c r="O33" s="48"/>
      <c r="AA33" s="48"/>
      <c r="AM33" s="48"/>
      <c r="AY33" s="48"/>
    </row>
    <row r="34" spans="1:51" ht="13.5">
      <c r="A34" s="24" t="s">
        <v>532</v>
      </c>
      <c r="B34" s="12"/>
      <c r="C34" s="48"/>
      <c r="D34" s="48"/>
      <c r="E34" s="15"/>
      <c r="H34" s="6"/>
      <c r="I34" s="10"/>
      <c r="O34" s="48"/>
      <c r="AA34" s="48"/>
      <c r="AM34" s="48"/>
      <c r="AY34" s="48"/>
    </row>
    <row r="35" spans="1:51" ht="13.5">
      <c r="A35" s="16" t="s">
        <v>402</v>
      </c>
      <c r="B35" s="12"/>
      <c r="C35" s="74">
        <v>0.95</v>
      </c>
      <c r="D35" s="74">
        <v>0.95</v>
      </c>
      <c r="E35" s="75">
        <v>0.95</v>
      </c>
      <c r="F35" s="30" t="s">
        <v>530</v>
      </c>
      <c r="H35" s="6"/>
      <c r="I35" s="10"/>
      <c r="O35" s="48"/>
      <c r="AA35" s="48"/>
      <c r="AM35" s="48"/>
      <c r="AY35" s="48"/>
    </row>
    <row r="36" spans="1:51" ht="13.5">
      <c r="A36" s="16" t="s">
        <v>458</v>
      </c>
      <c r="B36" s="12"/>
      <c r="C36" s="76">
        <v>0.25</v>
      </c>
      <c r="D36" s="76">
        <v>0.23</v>
      </c>
      <c r="E36" s="69">
        <v>0.21</v>
      </c>
      <c r="H36" s="6"/>
      <c r="I36" s="10"/>
      <c r="O36" s="48"/>
      <c r="AA36" s="48"/>
      <c r="AM36" s="48"/>
      <c r="AY36" s="48"/>
    </row>
    <row r="37" spans="1:51" ht="13.5">
      <c r="A37" s="5"/>
      <c r="B37" s="12"/>
      <c r="C37" s="17"/>
      <c r="D37" s="17"/>
      <c r="E37" s="15"/>
      <c r="H37" s="6"/>
      <c r="I37" s="10"/>
      <c r="O37" s="48"/>
      <c r="AA37" s="48"/>
      <c r="AM37" s="48"/>
      <c r="AY37" s="48"/>
    </row>
    <row r="38" spans="1:51" ht="13.5">
      <c r="A38" s="24" t="s">
        <v>236</v>
      </c>
      <c r="B38" s="12"/>
      <c r="C38" s="48"/>
      <c r="D38" s="48"/>
      <c r="E38" s="15"/>
      <c r="H38" s="6"/>
      <c r="I38" s="10"/>
      <c r="O38" s="48"/>
      <c r="AA38" s="48"/>
      <c r="AM38" s="48"/>
      <c r="AY38" s="48"/>
    </row>
    <row r="39" spans="1:51" ht="13.5">
      <c r="A39" s="16" t="s">
        <v>367</v>
      </c>
      <c r="B39" s="12"/>
      <c r="C39" s="66">
        <v>3</v>
      </c>
      <c r="D39" s="66">
        <v>3</v>
      </c>
      <c r="E39" s="67">
        <v>3</v>
      </c>
      <c r="H39" s="6"/>
      <c r="I39" s="10"/>
      <c r="O39" s="48"/>
      <c r="AA39" s="48"/>
      <c r="AM39" s="48"/>
      <c r="AY39" s="48"/>
    </row>
    <row r="40" spans="1:51" ht="13.5">
      <c r="A40" s="16" t="s">
        <v>199</v>
      </c>
      <c r="B40" s="7"/>
      <c r="C40" s="77">
        <v>0.2</v>
      </c>
      <c r="D40" s="77">
        <v>0.2</v>
      </c>
      <c r="E40" s="81">
        <v>0.2</v>
      </c>
      <c r="F40" s="30" t="s">
        <v>530</v>
      </c>
      <c r="H40" s="6"/>
      <c r="I40" s="10"/>
      <c r="O40" s="48"/>
      <c r="AA40" s="48"/>
      <c r="AM40" s="48"/>
      <c r="AY40" s="48"/>
    </row>
    <row r="41" spans="1:51" ht="13.5">
      <c r="A41" s="16" t="s">
        <v>256</v>
      </c>
      <c r="B41" s="2"/>
      <c r="C41" s="82">
        <v>0.0036</v>
      </c>
      <c r="D41" s="82">
        <v>0.0036</v>
      </c>
      <c r="E41" s="83">
        <v>0.0036</v>
      </c>
      <c r="F41" s="30" t="s">
        <v>530</v>
      </c>
      <c r="O41" s="48"/>
      <c r="AA41" s="48"/>
      <c r="AM41" s="48"/>
      <c r="AY41" s="48"/>
    </row>
    <row r="42" spans="1:51" ht="13.5">
      <c r="A42" s="16"/>
      <c r="B42" s="2"/>
      <c r="C42" s="2"/>
      <c r="D42" s="2"/>
      <c r="E42" s="3"/>
      <c r="O42" s="48"/>
      <c r="AA42" s="48"/>
      <c r="AM42" s="48"/>
      <c r="AY42" s="48"/>
    </row>
    <row r="43" spans="1:51" ht="13.5">
      <c r="A43" s="24" t="s">
        <v>323</v>
      </c>
      <c r="B43" s="2"/>
      <c r="C43" s="2"/>
      <c r="D43" s="2"/>
      <c r="E43" s="3"/>
      <c r="O43" s="48"/>
      <c r="AA43" s="48"/>
      <c r="AM43" s="48"/>
      <c r="AY43" s="48"/>
    </row>
    <row r="44" spans="1:51" ht="13.5">
      <c r="A44" s="16" t="s">
        <v>244</v>
      </c>
      <c r="B44" s="48"/>
      <c r="C44" s="84">
        <v>1500</v>
      </c>
      <c r="D44" s="84">
        <f>C44*1.05</f>
        <v>1575</v>
      </c>
      <c r="E44" s="85">
        <f>D44*1.05</f>
        <v>1653.75</v>
      </c>
      <c r="O44" s="48"/>
      <c r="AA44" s="48"/>
      <c r="AM44" s="48"/>
      <c r="AY44" s="48"/>
    </row>
    <row r="45" spans="1:51" ht="13.5">
      <c r="A45" s="16" t="s">
        <v>245</v>
      </c>
      <c r="B45" s="48"/>
      <c r="C45" s="86">
        <v>5</v>
      </c>
      <c r="D45" s="86">
        <v>8</v>
      </c>
      <c r="E45" s="87">
        <v>10</v>
      </c>
      <c r="O45" s="48"/>
      <c r="AA45" s="48"/>
      <c r="AM45" s="48"/>
      <c r="AY45" s="48"/>
    </row>
    <row r="46" spans="1:51" ht="13.5">
      <c r="A46" s="16" t="s">
        <v>248</v>
      </c>
      <c r="B46" s="48"/>
      <c r="C46" s="86">
        <v>52</v>
      </c>
      <c r="D46" s="86">
        <v>52</v>
      </c>
      <c r="E46" s="87">
        <v>52</v>
      </c>
      <c r="O46" s="48"/>
      <c r="AA46" s="48"/>
      <c r="AM46" s="48"/>
      <c r="AY46" s="48"/>
    </row>
    <row r="47" spans="1:51" ht="13.5">
      <c r="A47" s="16" t="s">
        <v>249</v>
      </c>
      <c r="B47" s="48"/>
      <c r="C47" s="76">
        <v>0.5</v>
      </c>
      <c r="D47" s="76">
        <v>0.6</v>
      </c>
      <c r="E47" s="69">
        <v>0.7</v>
      </c>
      <c r="O47" s="48"/>
      <c r="AA47" s="48"/>
      <c r="AM47" s="48"/>
      <c r="AY47" s="48"/>
    </row>
    <row r="48" spans="1:51" ht="13.5">
      <c r="A48" s="16"/>
      <c r="B48" s="48"/>
      <c r="C48" s="2"/>
      <c r="D48" s="2"/>
      <c r="E48" s="3"/>
      <c r="O48" s="48"/>
      <c r="AA48" s="48"/>
      <c r="AM48" s="48"/>
      <c r="AY48" s="48"/>
    </row>
    <row r="49" spans="1:51" ht="13.5">
      <c r="A49" s="24" t="s">
        <v>533</v>
      </c>
      <c r="B49" s="48"/>
      <c r="C49" s="2"/>
      <c r="D49" s="2"/>
      <c r="E49" s="3"/>
      <c r="O49" s="48"/>
      <c r="AA49" s="48"/>
      <c r="AM49" s="48"/>
      <c r="AY49" s="48"/>
    </row>
    <row r="50" spans="1:51" ht="13.5">
      <c r="A50" s="16" t="s">
        <v>534</v>
      </c>
      <c r="B50" s="48"/>
      <c r="C50" s="76">
        <v>0.2</v>
      </c>
      <c r="D50" s="76">
        <v>0.2</v>
      </c>
      <c r="E50" s="69">
        <v>0.2</v>
      </c>
      <c r="O50" s="48"/>
      <c r="AA50" s="48"/>
      <c r="AM50" s="48"/>
      <c r="AY50" s="48"/>
    </row>
    <row r="51" spans="1:51" ht="13.5">
      <c r="A51" s="16"/>
      <c r="B51" s="48"/>
      <c r="C51" s="2"/>
      <c r="D51" s="2"/>
      <c r="E51" s="3"/>
      <c r="O51" s="48"/>
      <c r="AA51" s="48"/>
      <c r="AM51" s="48"/>
      <c r="AY51" s="48"/>
    </row>
    <row r="52" spans="1:51" ht="15" thickBot="1">
      <c r="A52" s="19"/>
      <c r="B52" s="20"/>
      <c r="C52" s="20"/>
      <c r="D52" s="20"/>
      <c r="E52" s="21"/>
      <c r="O52" s="48"/>
      <c r="AA52" s="48"/>
      <c r="AM52" s="48"/>
      <c r="AY52" s="48"/>
    </row>
    <row r="55" spans="1:31" s="89" customFormat="1" ht="13.5">
      <c r="A55" s="88" t="s">
        <v>474</v>
      </c>
      <c r="G55" s="90"/>
      <c r="S55" s="90"/>
      <c r="AE55" s="90"/>
    </row>
    <row r="56" spans="2:27" ht="13.5">
      <c r="B56" s="30" t="s">
        <v>196</v>
      </c>
      <c r="C56" s="48"/>
      <c r="N56" s="30" t="s">
        <v>197</v>
      </c>
      <c r="O56" s="48"/>
      <c r="Z56" s="30" t="s">
        <v>198</v>
      </c>
      <c r="AA56" s="48"/>
    </row>
    <row r="57" spans="2:37" ht="13.5">
      <c r="B57" s="41" t="s">
        <v>200</v>
      </c>
      <c r="C57" s="41" t="s">
        <v>201</v>
      </c>
      <c r="D57" s="41" t="s">
        <v>202</v>
      </c>
      <c r="E57" s="41" t="s">
        <v>203</v>
      </c>
      <c r="F57" s="41" t="s">
        <v>477</v>
      </c>
      <c r="G57" s="41" t="s">
        <v>357</v>
      </c>
      <c r="H57" s="41" t="s">
        <v>358</v>
      </c>
      <c r="I57" s="41" t="s">
        <v>359</v>
      </c>
      <c r="J57" s="41" t="s">
        <v>360</v>
      </c>
      <c r="K57" s="41" t="s">
        <v>361</v>
      </c>
      <c r="L57" s="41" t="s">
        <v>362</v>
      </c>
      <c r="M57" s="41" t="s">
        <v>363</v>
      </c>
      <c r="N57" s="41" t="s">
        <v>200</v>
      </c>
      <c r="O57" s="41" t="s">
        <v>201</v>
      </c>
      <c r="P57" s="41" t="s">
        <v>202</v>
      </c>
      <c r="Q57" s="41" t="s">
        <v>203</v>
      </c>
      <c r="R57" s="41" t="s">
        <v>477</v>
      </c>
      <c r="S57" s="41" t="s">
        <v>357</v>
      </c>
      <c r="T57" s="41" t="s">
        <v>358</v>
      </c>
      <c r="U57" s="41" t="s">
        <v>359</v>
      </c>
      <c r="V57" s="41" t="s">
        <v>360</v>
      </c>
      <c r="W57" s="41" t="s">
        <v>361</v>
      </c>
      <c r="X57" s="41" t="s">
        <v>362</v>
      </c>
      <c r="Y57" s="41" t="s">
        <v>363</v>
      </c>
      <c r="Z57" s="61" t="s">
        <v>200</v>
      </c>
      <c r="AA57" s="61" t="s">
        <v>201</v>
      </c>
      <c r="AB57" s="61" t="s">
        <v>202</v>
      </c>
      <c r="AC57" s="61" t="s">
        <v>203</v>
      </c>
      <c r="AD57" s="61" t="s">
        <v>477</v>
      </c>
      <c r="AE57" s="61" t="s">
        <v>357</v>
      </c>
      <c r="AF57" s="61" t="s">
        <v>358</v>
      </c>
      <c r="AG57" s="61" t="s">
        <v>359</v>
      </c>
      <c r="AH57" s="61" t="s">
        <v>360</v>
      </c>
      <c r="AI57" s="61" t="s">
        <v>361</v>
      </c>
      <c r="AJ57" s="61" t="s">
        <v>362</v>
      </c>
      <c r="AK57" s="61" t="s">
        <v>363</v>
      </c>
    </row>
    <row r="58" spans="1:37" ht="13.5">
      <c r="A58" s="30" t="s">
        <v>209</v>
      </c>
      <c r="B58" s="30">
        <v>0</v>
      </c>
      <c r="C58" s="30">
        <v>0</v>
      </c>
      <c r="D58" s="30">
        <v>0</v>
      </c>
      <c r="E58" s="30">
        <f>D21+(($M$58-B21)/12)</f>
        <v>66666.66666666667</v>
      </c>
      <c r="F58" s="30">
        <f>E58+(($P$58-C21)/12)</f>
        <v>155833.33333333334</v>
      </c>
      <c r="G58" s="30">
        <f>F58+(($M$58-B21)/12)</f>
        <v>222500</v>
      </c>
      <c r="H58" s="30">
        <f>G58+(($M$58-B21)/12)</f>
        <v>289166.6666666667</v>
      </c>
      <c r="I58" s="30">
        <f>H58+(($P$58-C21)/12)</f>
        <v>378333.3333333334</v>
      </c>
      <c r="J58" s="30">
        <f>I58+(($M$58-B21)/12)</f>
        <v>445000.00000000006</v>
      </c>
      <c r="K58" s="30">
        <f>J58+(($M$58-B21)/12)</f>
        <v>511666.66666666674</v>
      </c>
      <c r="L58" s="30">
        <f>K58+(($M$58-C21)/12)</f>
        <v>578333.3333333334</v>
      </c>
      <c r="M58" s="30">
        <f>C22</f>
        <v>800000</v>
      </c>
      <c r="N58" s="30">
        <f>M58+(($Y$58-$M$58)/12)</f>
        <v>890000</v>
      </c>
      <c r="O58" s="30">
        <f aca="true" t="shared" si="0" ref="O58:X58">N58+(($Y$58-$M$58)/12)</f>
        <v>980000</v>
      </c>
      <c r="P58" s="30">
        <f t="shared" si="0"/>
        <v>1070000</v>
      </c>
      <c r="Q58" s="30">
        <f t="shared" si="0"/>
        <v>1160000</v>
      </c>
      <c r="R58" s="30">
        <f t="shared" si="0"/>
        <v>1250000</v>
      </c>
      <c r="S58" s="30">
        <f t="shared" si="0"/>
        <v>1340000</v>
      </c>
      <c r="T58" s="30">
        <f t="shared" si="0"/>
        <v>1430000</v>
      </c>
      <c r="U58" s="30">
        <f t="shared" si="0"/>
        <v>1520000</v>
      </c>
      <c r="V58" s="30">
        <f t="shared" si="0"/>
        <v>1610000</v>
      </c>
      <c r="W58" s="30">
        <f t="shared" si="0"/>
        <v>1700000</v>
      </c>
      <c r="X58" s="30">
        <f t="shared" si="0"/>
        <v>1790000</v>
      </c>
      <c r="Y58" s="30">
        <f>D22</f>
        <v>1880000</v>
      </c>
      <c r="Z58" s="30">
        <f>Y58+(($AK$58-$Y$58)/12)</f>
        <v>1956666.6666666667</v>
      </c>
      <c r="AA58" s="30">
        <f aca="true" t="shared" si="1" ref="AA58:AJ58">Z58+(($AK$58-$Y$58)/12)</f>
        <v>2033333.3333333335</v>
      </c>
      <c r="AB58" s="30">
        <f t="shared" si="1"/>
        <v>2110000</v>
      </c>
      <c r="AC58" s="30">
        <f t="shared" si="1"/>
        <v>2186666.6666666665</v>
      </c>
      <c r="AD58" s="30">
        <f t="shared" si="1"/>
        <v>2263333.333333333</v>
      </c>
      <c r="AE58" s="30">
        <f t="shared" si="1"/>
        <v>2339999.9999999995</v>
      </c>
      <c r="AF58" s="30">
        <f t="shared" si="1"/>
        <v>2416666.666666666</v>
      </c>
      <c r="AG58" s="30">
        <f t="shared" si="1"/>
        <v>2493333.3333333326</v>
      </c>
      <c r="AH58" s="30">
        <f t="shared" si="1"/>
        <v>2569999.999999999</v>
      </c>
      <c r="AI58" s="30">
        <f t="shared" si="1"/>
        <v>2646666.6666666656</v>
      </c>
      <c r="AJ58" s="30">
        <f t="shared" si="1"/>
        <v>2723333.333333332</v>
      </c>
      <c r="AK58" s="30">
        <f>E22</f>
        <v>2800000</v>
      </c>
    </row>
    <row r="59" spans="1:37" ht="13.5">
      <c r="A59" s="30" t="s">
        <v>254</v>
      </c>
      <c r="B59" s="30">
        <f>B58*$C$23</f>
        <v>0</v>
      </c>
      <c r="C59" s="30">
        <f>C58*$C$23</f>
        <v>0</v>
      </c>
      <c r="D59" s="30">
        <f>D58*$C$23</f>
        <v>0</v>
      </c>
      <c r="E59" s="30">
        <f>E58*$C$23</f>
        <v>800000</v>
      </c>
      <c r="F59" s="30">
        <f aca="true" t="shared" si="2" ref="F59:AK59">F58*$C$23</f>
        <v>1870000</v>
      </c>
      <c r="G59" s="30">
        <f t="shared" si="2"/>
        <v>2670000</v>
      </c>
      <c r="H59" s="30">
        <f t="shared" si="2"/>
        <v>3470000</v>
      </c>
      <c r="I59" s="30">
        <f t="shared" si="2"/>
        <v>4540000</v>
      </c>
      <c r="J59" s="30">
        <f t="shared" si="2"/>
        <v>5340000.000000001</v>
      </c>
      <c r="K59" s="30">
        <f t="shared" si="2"/>
        <v>6140000.000000001</v>
      </c>
      <c r="L59" s="30">
        <f t="shared" si="2"/>
        <v>6940000</v>
      </c>
      <c r="M59" s="30">
        <f t="shared" si="2"/>
        <v>9600000</v>
      </c>
      <c r="N59" s="30">
        <f t="shared" si="2"/>
        <v>10680000</v>
      </c>
      <c r="O59" s="30">
        <f t="shared" si="2"/>
        <v>11760000</v>
      </c>
      <c r="P59" s="30">
        <f t="shared" si="2"/>
        <v>12840000</v>
      </c>
      <c r="Q59" s="30">
        <f t="shared" si="2"/>
        <v>13920000</v>
      </c>
      <c r="R59" s="30">
        <f t="shared" si="2"/>
        <v>15000000</v>
      </c>
      <c r="S59" s="30">
        <f t="shared" si="2"/>
        <v>16080000</v>
      </c>
      <c r="T59" s="30">
        <f t="shared" si="2"/>
        <v>17160000</v>
      </c>
      <c r="U59" s="30">
        <f t="shared" si="2"/>
        <v>18240000</v>
      </c>
      <c r="V59" s="30">
        <f t="shared" si="2"/>
        <v>19320000</v>
      </c>
      <c r="W59" s="30">
        <f t="shared" si="2"/>
        <v>20400000</v>
      </c>
      <c r="X59" s="30">
        <f t="shared" si="2"/>
        <v>21480000</v>
      </c>
      <c r="Y59" s="30">
        <f t="shared" si="2"/>
        <v>22560000</v>
      </c>
      <c r="Z59" s="30">
        <f t="shared" si="2"/>
        <v>23480000</v>
      </c>
      <c r="AA59" s="30">
        <f t="shared" si="2"/>
        <v>24400000</v>
      </c>
      <c r="AB59" s="30">
        <f t="shared" si="2"/>
        <v>25320000</v>
      </c>
      <c r="AC59" s="30">
        <f t="shared" si="2"/>
        <v>26240000</v>
      </c>
      <c r="AD59" s="30">
        <f t="shared" si="2"/>
        <v>27159999.999999996</v>
      </c>
      <c r="AE59" s="30">
        <f t="shared" si="2"/>
        <v>28079999.999999993</v>
      </c>
      <c r="AF59" s="30">
        <f t="shared" si="2"/>
        <v>28999999.999999993</v>
      </c>
      <c r="AG59" s="30">
        <f t="shared" si="2"/>
        <v>29919999.999999993</v>
      </c>
      <c r="AH59" s="30">
        <f t="shared" si="2"/>
        <v>30839999.99999999</v>
      </c>
      <c r="AI59" s="30">
        <f t="shared" si="2"/>
        <v>31759999.999999985</v>
      </c>
      <c r="AJ59" s="30">
        <f t="shared" si="2"/>
        <v>32679999.999999985</v>
      </c>
      <c r="AK59" s="30">
        <f t="shared" si="2"/>
        <v>33600000</v>
      </c>
    </row>
    <row r="60" spans="5:29" ht="13.5">
      <c r="E60" s="48"/>
      <c r="Q60" s="48"/>
      <c r="AC60" s="48"/>
    </row>
    <row r="61" spans="1:29" s="89" customFormat="1" ht="13.5">
      <c r="A61" s="88" t="s">
        <v>410</v>
      </c>
      <c r="E61" s="90"/>
      <c r="Q61" s="90"/>
      <c r="AC61" s="90"/>
    </row>
    <row r="62" spans="1:37" ht="13.5">
      <c r="A62" s="30" t="s">
        <v>473</v>
      </c>
      <c r="B62" s="30">
        <f aca="true" t="shared" si="3" ref="B62:M62">(B59/1000)*$C$27*$C$26</f>
        <v>0</v>
      </c>
      <c r="C62" s="30">
        <f t="shared" si="3"/>
        <v>0</v>
      </c>
      <c r="D62" s="30">
        <f t="shared" si="3"/>
        <v>0</v>
      </c>
      <c r="E62" s="30">
        <f t="shared" si="3"/>
        <v>28800</v>
      </c>
      <c r="F62" s="30">
        <f t="shared" si="3"/>
        <v>67320</v>
      </c>
      <c r="G62" s="30">
        <f t="shared" si="3"/>
        <v>96120</v>
      </c>
      <c r="H62" s="30">
        <f t="shared" si="3"/>
        <v>124920</v>
      </c>
      <c r="I62" s="30">
        <f t="shared" si="3"/>
        <v>163440</v>
      </c>
      <c r="J62" s="30">
        <f t="shared" si="3"/>
        <v>192240.00000000006</v>
      </c>
      <c r="K62" s="30">
        <f t="shared" si="3"/>
        <v>221040.00000000006</v>
      </c>
      <c r="L62" s="30">
        <f t="shared" si="3"/>
        <v>249840</v>
      </c>
      <c r="M62" s="30">
        <f t="shared" si="3"/>
        <v>345600</v>
      </c>
      <c r="N62" s="30">
        <f aca="true" t="shared" si="4" ref="N62:Y62">(N59/1000)*$D$27*$D$26</f>
        <v>384480</v>
      </c>
      <c r="O62" s="30">
        <f t="shared" si="4"/>
        <v>423360</v>
      </c>
      <c r="P62" s="30">
        <f t="shared" si="4"/>
        <v>462240</v>
      </c>
      <c r="Q62" s="30">
        <f t="shared" si="4"/>
        <v>501120</v>
      </c>
      <c r="R62" s="30">
        <f t="shared" si="4"/>
        <v>540000</v>
      </c>
      <c r="S62" s="30">
        <f t="shared" si="4"/>
        <v>578880</v>
      </c>
      <c r="T62" s="30">
        <f t="shared" si="4"/>
        <v>617760</v>
      </c>
      <c r="U62" s="30">
        <f t="shared" si="4"/>
        <v>656640</v>
      </c>
      <c r="V62" s="30">
        <f t="shared" si="4"/>
        <v>695520</v>
      </c>
      <c r="W62" s="30">
        <f t="shared" si="4"/>
        <v>734400</v>
      </c>
      <c r="X62" s="30">
        <f t="shared" si="4"/>
        <v>773280</v>
      </c>
      <c r="Y62" s="30">
        <f t="shared" si="4"/>
        <v>812160</v>
      </c>
      <c r="Z62" s="30">
        <f aca="true" t="shared" si="5" ref="Z62:AK62">(Z59/1000)*$E$27*$E$26</f>
        <v>845280</v>
      </c>
      <c r="AA62" s="30">
        <f t="shared" si="5"/>
        <v>878400</v>
      </c>
      <c r="AB62" s="30">
        <f t="shared" si="5"/>
        <v>911520</v>
      </c>
      <c r="AC62" s="30">
        <f t="shared" si="5"/>
        <v>944640</v>
      </c>
      <c r="AD62" s="30">
        <f t="shared" si="5"/>
        <v>977759.9999999998</v>
      </c>
      <c r="AE62" s="30">
        <f t="shared" si="5"/>
        <v>1010879.9999999997</v>
      </c>
      <c r="AF62" s="30">
        <f t="shared" si="5"/>
        <v>1043999.9999999997</v>
      </c>
      <c r="AG62" s="30">
        <f t="shared" si="5"/>
        <v>1077119.9999999995</v>
      </c>
      <c r="AH62" s="30">
        <f t="shared" si="5"/>
        <v>1110239.9999999995</v>
      </c>
      <c r="AI62" s="30">
        <f t="shared" si="5"/>
        <v>1143359.9999999995</v>
      </c>
      <c r="AJ62" s="30">
        <f t="shared" si="5"/>
        <v>1176479.9999999995</v>
      </c>
      <c r="AK62" s="30">
        <f t="shared" si="5"/>
        <v>1209600</v>
      </c>
    </row>
    <row r="63" spans="1:37" ht="13.5">
      <c r="A63" s="62" t="s">
        <v>459</v>
      </c>
      <c r="B63" s="30">
        <f aca="true" t="shared" si="6" ref="B63:M63">B62*$C$28</f>
        <v>0</v>
      </c>
      <c r="C63" s="30">
        <f t="shared" si="6"/>
        <v>0</v>
      </c>
      <c r="D63" s="30">
        <f t="shared" si="6"/>
        <v>0</v>
      </c>
      <c r="E63" s="30">
        <f t="shared" si="6"/>
        <v>14400</v>
      </c>
      <c r="F63" s="30">
        <f t="shared" si="6"/>
        <v>33660</v>
      </c>
      <c r="G63" s="30">
        <f t="shared" si="6"/>
        <v>48060</v>
      </c>
      <c r="H63" s="30">
        <f t="shared" si="6"/>
        <v>62460</v>
      </c>
      <c r="I63" s="30">
        <f t="shared" si="6"/>
        <v>81720</v>
      </c>
      <c r="J63" s="30">
        <f t="shared" si="6"/>
        <v>96120.00000000003</v>
      </c>
      <c r="K63" s="30">
        <f t="shared" si="6"/>
        <v>110520.00000000003</v>
      </c>
      <c r="L63" s="30">
        <f t="shared" si="6"/>
        <v>124920</v>
      </c>
      <c r="M63" s="30">
        <f t="shared" si="6"/>
        <v>172800</v>
      </c>
      <c r="N63" s="30">
        <f>N62*$D$28</f>
        <v>211464.00000000003</v>
      </c>
      <c r="O63" s="30">
        <f aca="true" t="shared" si="7" ref="O63:Y63">O62*$D$28</f>
        <v>232848.00000000003</v>
      </c>
      <c r="P63" s="30">
        <f t="shared" si="7"/>
        <v>254232.00000000003</v>
      </c>
      <c r="Q63" s="30">
        <f t="shared" si="7"/>
        <v>275616</v>
      </c>
      <c r="R63" s="30">
        <f t="shared" si="7"/>
        <v>297000</v>
      </c>
      <c r="S63" s="30">
        <f t="shared" si="7"/>
        <v>318384</v>
      </c>
      <c r="T63" s="30">
        <f t="shared" si="7"/>
        <v>339768</v>
      </c>
      <c r="U63" s="30">
        <f t="shared" si="7"/>
        <v>361152.00000000006</v>
      </c>
      <c r="V63" s="30">
        <f t="shared" si="7"/>
        <v>382536.00000000006</v>
      </c>
      <c r="W63" s="30">
        <f t="shared" si="7"/>
        <v>403920.00000000006</v>
      </c>
      <c r="X63" s="30">
        <f t="shared" si="7"/>
        <v>425304.00000000006</v>
      </c>
      <c r="Y63" s="30">
        <f t="shared" si="7"/>
        <v>446688.00000000006</v>
      </c>
      <c r="Z63" s="30">
        <f>Z62*$E$28</f>
        <v>507168</v>
      </c>
      <c r="AA63" s="30">
        <f aca="true" t="shared" si="8" ref="AA63:AK63">AA62*$E$28</f>
        <v>527040</v>
      </c>
      <c r="AB63" s="30">
        <f t="shared" si="8"/>
        <v>546912</v>
      </c>
      <c r="AC63" s="30">
        <f t="shared" si="8"/>
        <v>566784</v>
      </c>
      <c r="AD63" s="30">
        <f t="shared" si="8"/>
        <v>586655.9999999999</v>
      </c>
      <c r="AE63" s="30">
        <f t="shared" si="8"/>
        <v>606527.9999999998</v>
      </c>
      <c r="AF63" s="30">
        <f t="shared" si="8"/>
        <v>626399.9999999998</v>
      </c>
      <c r="AG63" s="30">
        <f t="shared" si="8"/>
        <v>646271.9999999997</v>
      </c>
      <c r="AH63" s="30">
        <f t="shared" si="8"/>
        <v>666143.9999999997</v>
      </c>
      <c r="AI63" s="30">
        <f t="shared" si="8"/>
        <v>686015.9999999997</v>
      </c>
      <c r="AJ63" s="30">
        <f t="shared" si="8"/>
        <v>705887.9999999997</v>
      </c>
      <c r="AK63" s="30">
        <f t="shared" si="8"/>
        <v>725760</v>
      </c>
    </row>
    <row r="64" spans="1:37" ht="13.5">
      <c r="A64" s="62"/>
      <c r="M64" s="30">
        <f>SUM(B63:M63)</f>
        <v>744660</v>
      </c>
      <c r="Y64" s="30">
        <f>SUM(N63:Y63)</f>
        <v>3948912</v>
      </c>
      <c r="AK64" s="30">
        <f>SUM(Z63:AK63)</f>
        <v>7397568</v>
      </c>
    </row>
    <row r="65" spans="1:37" ht="13.5">
      <c r="A65" s="30" t="s">
        <v>535</v>
      </c>
      <c r="B65" s="30">
        <f>(((B59*$C$26)/1000)*$C$31)*$C$32</f>
        <v>0</v>
      </c>
      <c r="C65" s="30">
        <f aca="true" t="shared" si="9" ref="C65:M65">(((C59*$C$26)/1000)*$C$31)*$C$32</f>
        <v>0</v>
      </c>
      <c r="D65" s="30">
        <f t="shared" si="9"/>
        <v>0</v>
      </c>
      <c r="E65" s="30">
        <f t="shared" si="9"/>
        <v>2160</v>
      </c>
      <c r="F65" s="30">
        <f t="shared" si="9"/>
        <v>5049</v>
      </c>
      <c r="G65" s="30">
        <f t="shared" si="9"/>
        <v>7209</v>
      </c>
      <c r="H65" s="30">
        <f t="shared" si="9"/>
        <v>9369</v>
      </c>
      <c r="I65" s="30">
        <f t="shared" si="9"/>
        <v>12258</v>
      </c>
      <c r="J65" s="30">
        <f t="shared" si="9"/>
        <v>14418.000000000004</v>
      </c>
      <c r="K65" s="30">
        <f t="shared" si="9"/>
        <v>16578.000000000004</v>
      </c>
      <c r="L65" s="30">
        <f t="shared" si="9"/>
        <v>18738</v>
      </c>
      <c r="M65" s="30">
        <f t="shared" si="9"/>
        <v>25920</v>
      </c>
      <c r="N65" s="30">
        <f>(((N59*$D$26)/1000)*$D$31)*$D$32</f>
        <v>24510.600000000002</v>
      </c>
      <c r="O65" s="30">
        <f aca="true" t="shared" si="10" ref="O65:Y65">(((O59*$D$26)/1000)*$D$31)*$D$32</f>
        <v>26989.2</v>
      </c>
      <c r="P65" s="30">
        <f t="shared" si="10"/>
        <v>29467.800000000003</v>
      </c>
      <c r="Q65" s="30">
        <f t="shared" si="10"/>
        <v>31946.4</v>
      </c>
      <c r="R65" s="30">
        <f t="shared" si="10"/>
        <v>34425</v>
      </c>
      <c r="S65" s="30">
        <f t="shared" si="10"/>
        <v>36903.600000000006</v>
      </c>
      <c r="T65" s="30">
        <f t="shared" si="10"/>
        <v>39382.200000000004</v>
      </c>
      <c r="U65" s="30">
        <f t="shared" si="10"/>
        <v>41860.8</v>
      </c>
      <c r="V65" s="30">
        <f t="shared" si="10"/>
        <v>44339.4</v>
      </c>
      <c r="W65" s="30">
        <f t="shared" si="10"/>
        <v>46818</v>
      </c>
      <c r="X65" s="30">
        <f t="shared" si="10"/>
        <v>49296.600000000006</v>
      </c>
      <c r="Y65" s="30">
        <f t="shared" si="10"/>
        <v>51775.200000000004</v>
      </c>
      <c r="Z65" s="30">
        <f>(((Z59*$E$26)/1000)*$E$31)*$E$32</f>
        <v>44377.200000000004</v>
      </c>
      <c r="AA65" s="30">
        <f aca="true" t="shared" si="11" ref="AA65:AK65">(((AA59*$E$26)/1000)*$E$31)*$E$32</f>
        <v>46116.00000000001</v>
      </c>
      <c r="AB65" s="30">
        <f t="shared" si="11"/>
        <v>47854.8</v>
      </c>
      <c r="AC65" s="30">
        <f t="shared" si="11"/>
        <v>49593.600000000006</v>
      </c>
      <c r="AD65" s="30">
        <f t="shared" si="11"/>
        <v>51332.399999999994</v>
      </c>
      <c r="AE65" s="30">
        <f t="shared" si="11"/>
        <v>53071.19999999999</v>
      </c>
      <c r="AF65" s="30">
        <f t="shared" si="11"/>
        <v>54809.999999999985</v>
      </c>
      <c r="AG65" s="30">
        <f t="shared" si="11"/>
        <v>56548.79999999999</v>
      </c>
      <c r="AH65" s="30">
        <f t="shared" si="11"/>
        <v>58287.59999999999</v>
      </c>
      <c r="AI65" s="30">
        <f t="shared" si="11"/>
        <v>60026.39999999998</v>
      </c>
      <c r="AJ65" s="30">
        <f t="shared" si="11"/>
        <v>61765.19999999998</v>
      </c>
      <c r="AK65" s="30">
        <f t="shared" si="11"/>
        <v>63504.00000000001</v>
      </c>
    </row>
    <row r="66" ht="13.5">
      <c r="A66" s="62"/>
    </row>
    <row r="67" spans="1:37" ht="13.5">
      <c r="A67" s="30" t="s">
        <v>536</v>
      </c>
      <c r="B67" s="30">
        <f>(((B59*$C$26)/1000)*$C$35)*$C$36</f>
        <v>0</v>
      </c>
      <c r="C67" s="30">
        <f aca="true" t="shared" si="12" ref="C67:M67">(((C59*$C$26)/1000)*$C$35)*$C$36</f>
        <v>0</v>
      </c>
      <c r="D67" s="30">
        <f t="shared" si="12"/>
        <v>0</v>
      </c>
      <c r="E67" s="30">
        <f t="shared" si="12"/>
        <v>570</v>
      </c>
      <c r="F67" s="30">
        <f t="shared" si="12"/>
        <v>1332.375</v>
      </c>
      <c r="G67" s="30">
        <f t="shared" si="12"/>
        <v>1902.375</v>
      </c>
      <c r="H67" s="30">
        <f t="shared" si="12"/>
        <v>2472.375</v>
      </c>
      <c r="I67" s="30">
        <f t="shared" si="12"/>
        <v>3234.75</v>
      </c>
      <c r="J67" s="30">
        <f t="shared" si="12"/>
        <v>3804.750000000001</v>
      </c>
      <c r="K67" s="30">
        <f t="shared" si="12"/>
        <v>4374.750000000001</v>
      </c>
      <c r="L67" s="30">
        <f t="shared" si="12"/>
        <v>4944.75</v>
      </c>
      <c r="M67" s="30">
        <f t="shared" si="12"/>
        <v>6840</v>
      </c>
      <c r="N67" s="30">
        <f>(((N59*$D$26)/1000)*$D$35)*$D$36</f>
        <v>7000.740000000001</v>
      </c>
      <c r="O67" s="30">
        <f aca="true" t="shared" si="13" ref="O67:Y67">(((O59*$D$26)/1000)*$D$35)*$D$36</f>
        <v>7708.68</v>
      </c>
      <c r="P67" s="30">
        <f t="shared" si="13"/>
        <v>8416.62</v>
      </c>
      <c r="Q67" s="30">
        <f t="shared" si="13"/>
        <v>9124.56</v>
      </c>
      <c r="R67" s="30">
        <f t="shared" si="13"/>
        <v>9832.5</v>
      </c>
      <c r="S67" s="30">
        <f t="shared" si="13"/>
        <v>10540.44</v>
      </c>
      <c r="T67" s="30">
        <f t="shared" si="13"/>
        <v>11248.380000000001</v>
      </c>
      <c r="U67" s="30">
        <f t="shared" si="13"/>
        <v>11956.32</v>
      </c>
      <c r="V67" s="30">
        <f t="shared" si="13"/>
        <v>12664.26</v>
      </c>
      <c r="W67" s="30">
        <f t="shared" si="13"/>
        <v>13372.2</v>
      </c>
      <c r="X67" s="30">
        <f t="shared" si="13"/>
        <v>14080.140000000001</v>
      </c>
      <c r="Y67" s="30">
        <f t="shared" si="13"/>
        <v>14788.08</v>
      </c>
      <c r="Z67" s="30">
        <f>(((Z59*$E$26)/1000)*$E$35)*$E$36</f>
        <v>14052.779999999999</v>
      </c>
      <c r="AA67" s="30">
        <f aca="true" t="shared" si="14" ref="AA67:AK67">(((AA59*$E$26)/1000)*$E$35)*$E$36</f>
        <v>14603.4</v>
      </c>
      <c r="AB67" s="30">
        <f t="shared" si="14"/>
        <v>15154.019999999999</v>
      </c>
      <c r="AC67" s="30">
        <f t="shared" si="14"/>
        <v>15704.64</v>
      </c>
      <c r="AD67" s="30">
        <f t="shared" si="14"/>
        <v>16255.259999999997</v>
      </c>
      <c r="AE67" s="30">
        <f t="shared" si="14"/>
        <v>16805.879999999994</v>
      </c>
      <c r="AF67" s="30">
        <f t="shared" si="14"/>
        <v>17356.499999999993</v>
      </c>
      <c r="AG67" s="30">
        <f t="shared" si="14"/>
        <v>17907.11999999999</v>
      </c>
      <c r="AH67" s="30">
        <f t="shared" si="14"/>
        <v>18457.739999999994</v>
      </c>
      <c r="AI67" s="30">
        <f t="shared" si="14"/>
        <v>19008.35999999999</v>
      </c>
      <c r="AJ67" s="30">
        <f t="shared" si="14"/>
        <v>19558.97999999999</v>
      </c>
      <c r="AK67" s="30">
        <f t="shared" si="14"/>
        <v>20109.6</v>
      </c>
    </row>
    <row r="68" ht="13.5">
      <c r="A68" s="62"/>
    </row>
    <row r="69" spans="1:37" ht="13.5">
      <c r="A69" s="30" t="s">
        <v>255</v>
      </c>
      <c r="B69" s="30">
        <f>B59*$C$41*$C$40*$C$39</f>
        <v>0</v>
      </c>
      <c r="C69" s="30">
        <f aca="true" t="shared" si="15" ref="C69:M69">C59*$C$41*$C$40*$C$39</f>
        <v>0</v>
      </c>
      <c r="D69" s="30">
        <f t="shared" si="15"/>
        <v>0</v>
      </c>
      <c r="E69" s="30">
        <f t="shared" si="15"/>
        <v>1728</v>
      </c>
      <c r="F69" s="30">
        <f t="shared" si="15"/>
        <v>4039.2000000000003</v>
      </c>
      <c r="G69" s="30">
        <f t="shared" si="15"/>
        <v>5767.200000000001</v>
      </c>
      <c r="H69" s="30">
        <f t="shared" si="15"/>
        <v>7495.200000000001</v>
      </c>
      <c r="I69" s="30">
        <f t="shared" si="15"/>
        <v>9806.400000000001</v>
      </c>
      <c r="J69" s="30">
        <f t="shared" si="15"/>
        <v>11534.400000000003</v>
      </c>
      <c r="K69" s="30">
        <f t="shared" si="15"/>
        <v>13262.400000000003</v>
      </c>
      <c r="L69" s="30">
        <f t="shared" si="15"/>
        <v>14990.400000000001</v>
      </c>
      <c r="M69" s="30">
        <f t="shared" si="15"/>
        <v>20736</v>
      </c>
      <c r="N69" s="30">
        <f>N59*$D$41*$D$40*$D$39</f>
        <v>23068.800000000003</v>
      </c>
      <c r="O69" s="30">
        <f aca="true" t="shared" si="16" ref="O69:Y69">O59*$D$41*$D$40*$D$39</f>
        <v>25401.600000000002</v>
      </c>
      <c r="P69" s="30">
        <f t="shared" si="16"/>
        <v>27734.4</v>
      </c>
      <c r="Q69" s="30">
        <f t="shared" si="16"/>
        <v>30067.200000000004</v>
      </c>
      <c r="R69" s="30">
        <f t="shared" si="16"/>
        <v>32400</v>
      </c>
      <c r="S69" s="30">
        <f t="shared" si="16"/>
        <v>34732.8</v>
      </c>
      <c r="T69" s="30">
        <f t="shared" si="16"/>
        <v>37065.600000000006</v>
      </c>
      <c r="U69" s="30">
        <f t="shared" si="16"/>
        <v>39398.4</v>
      </c>
      <c r="V69" s="30">
        <f t="shared" si="16"/>
        <v>41731.200000000004</v>
      </c>
      <c r="W69" s="30">
        <f t="shared" si="16"/>
        <v>44064</v>
      </c>
      <c r="X69" s="30">
        <f t="shared" si="16"/>
        <v>46396.8</v>
      </c>
      <c r="Y69" s="30">
        <f t="shared" si="16"/>
        <v>48729.600000000006</v>
      </c>
      <c r="Z69" s="30">
        <f>Z59*$E$41*$E$40*$E$39</f>
        <v>50716.8</v>
      </c>
      <c r="AA69" s="30">
        <f aca="true" t="shared" si="17" ref="AA69:AK69">AA59*$E$41*$E$40*$E$39</f>
        <v>52704</v>
      </c>
      <c r="AB69" s="30">
        <f t="shared" si="17"/>
        <v>54691.200000000004</v>
      </c>
      <c r="AC69" s="30">
        <f t="shared" si="17"/>
        <v>56678.399999999994</v>
      </c>
      <c r="AD69" s="30">
        <f t="shared" si="17"/>
        <v>58665.59999999999</v>
      </c>
      <c r="AE69" s="30">
        <f t="shared" si="17"/>
        <v>60652.79999999999</v>
      </c>
      <c r="AF69" s="30">
        <f t="shared" si="17"/>
        <v>62639.999999999985</v>
      </c>
      <c r="AG69" s="30">
        <f t="shared" si="17"/>
        <v>64627.19999999998</v>
      </c>
      <c r="AH69" s="30">
        <f t="shared" si="17"/>
        <v>66614.39999999998</v>
      </c>
      <c r="AI69" s="30">
        <f t="shared" si="17"/>
        <v>68601.59999999998</v>
      </c>
      <c r="AJ69" s="30">
        <f t="shared" si="17"/>
        <v>70588.79999999997</v>
      </c>
      <c r="AK69" s="30">
        <f t="shared" si="17"/>
        <v>72576</v>
      </c>
    </row>
    <row r="70" spans="5:29" ht="13.5">
      <c r="E70" s="48"/>
      <c r="Q70" s="48"/>
      <c r="AC70" s="48"/>
    </row>
    <row r="71" spans="1:37" ht="13.5">
      <c r="A71" s="30" t="s">
        <v>250</v>
      </c>
      <c r="B71" s="30">
        <v>0</v>
      </c>
      <c r="C71" s="30">
        <v>0</v>
      </c>
      <c r="D71" s="30">
        <v>0</v>
      </c>
      <c r="E71" s="30">
        <f aca="true" t="shared" si="18" ref="E71:M71">($C$44*$C$45*$C$46*$C$47)/12</f>
        <v>16250</v>
      </c>
      <c r="F71" s="30">
        <f t="shared" si="18"/>
        <v>16250</v>
      </c>
      <c r="G71" s="30">
        <f t="shared" si="18"/>
        <v>16250</v>
      </c>
      <c r="H71" s="30">
        <f t="shared" si="18"/>
        <v>16250</v>
      </c>
      <c r="I71" s="30">
        <f t="shared" si="18"/>
        <v>16250</v>
      </c>
      <c r="J71" s="30">
        <f t="shared" si="18"/>
        <v>16250</v>
      </c>
      <c r="K71" s="30">
        <f t="shared" si="18"/>
        <v>16250</v>
      </c>
      <c r="L71" s="30">
        <f t="shared" si="18"/>
        <v>16250</v>
      </c>
      <c r="M71" s="30">
        <f t="shared" si="18"/>
        <v>16250</v>
      </c>
      <c r="N71" s="30">
        <f>($D$44*$D$45*$D$46*$D$47)/12</f>
        <v>32760</v>
      </c>
      <c r="O71" s="30">
        <f aca="true" t="shared" si="19" ref="O71:Y71">($D$44*$D$45*$D$46*$D$47)/12</f>
        <v>32760</v>
      </c>
      <c r="P71" s="30">
        <f t="shared" si="19"/>
        <v>32760</v>
      </c>
      <c r="Q71" s="30">
        <f t="shared" si="19"/>
        <v>32760</v>
      </c>
      <c r="R71" s="30">
        <f t="shared" si="19"/>
        <v>32760</v>
      </c>
      <c r="S71" s="30">
        <f t="shared" si="19"/>
        <v>32760</v>
      </c>
      <c r="T71" s="30">
        <f t="shared" si="19"/>
        <v>32760</v>
      </c>
      <c r="U71" s="30">
        <f t="shared" si="19"/>
        <v>32760</v>
      </c>
      <c r="V71" s="30">
        <f t="shared" si="19"/>
        <v>32760</v>
      </c>
      <c r="W71" s="30">
        <f t="shared" si="19"/>
        <v>32760</v>
      </c>
      <c r="X71" s="30">
        <f t="shared" si="19"/>
        <v>32760</v>
      </c>
      <c r="Y71" s="30">
        <f t="shared" si="19"/>
        <v>32760</v>
      </c>
      <c r="Z71" s="30">
        <f>($E$44*$E$45*$E$46*$E$47)/12</f>
        <v>50163.75</v>
      </c>
      <c r="AA71" s="30">
        <f aca="true" t="shared" si="20" ref="AA71:AK71">($E$44*$E$45*$E$46*$E$47)/12</f>
        <v>50163.75</v>
      </c>
      <c r="AB71" s="30">
        <f t="shared" si="20"/>
        <v>50163.75</v>
      </c>
      <c r="AC71" s="30">
        <f t="shared" si="20"/>
        <v>50163.75</v>
      </c>
      <c r="AD71" s="30">
        <f t="shared" si="20"/>
        <v>50163.75</v>
      </c>
      <c r="AE71" s="30">
        <f t="shared" si="20"/>
        <v>50163.75</v>
      </c>
      <c r="AF71" s="30">
        <f t="shared" si="20"/>
        <v>50163.75</v>
      </c>
      <c r="AG71" s="30">
        <f t="shared" si="20"/>
        <v>50163.75</v>
      </c>
      <c r="AH71" s="30">
        <f t="shared" si="20"/>
        <v>50163.75</v>
      </c>
      <c r="AI71" s="30">
        <f t="shared" si="20"/>
        <v>50163.75</v>
      </c>
      <c r="AJ71" s="30">
        <f t="shared" si="20"/>
        <v>50163.75</v>
      </c>
      <c r="AK71" s="30">
        <f t="shared" si="20"/>
        <v>50163.75</v>
      </c>
    </row>
    <row r="72" spans="5:29" ht="13.5">
      <c r="E72" s="48"/>
      <c r="Q72" s="48"/>
      <c r="AC72" s="48"/>
    </row>
    <row r="73" spans="1:29" ht="13.5">
      <c r="A73" s="30" t="s">
        <v>537</v>
      </c>
      <c r="E73" s="48"/>
      <c r="Q73" s="48"/>
      <c r="AC73" s="48"/>
    </row>
    <row r="74" spans="1:37" ht="13.5">
      <c r="A74" s="30" t="s">
        <v>461</v>
      </c>
      <c r="B74" s="92">
        <v>0</v>
      </c>
      <c r="C74" s="92">
        <v>0</v>
      </c>
      <c r="D74" s="92">
        <v>0</v>
      </c>
      <c r="E74" s="11">
        <v>94807.69229076922</v>
      </c>
      <c r="F74" s="92">
        <v>99548.0769053077</v>
      </c>
      <c r="G74" s="92">
        <v>104525.48075057307</v>
      </c>
      <c r="H74" s="92">
        <v>109751.75478810172</v>
      </c>
      <c r="I74" s="92">
        <v>115239.34252750679</v>
      </c>
      <c r="J74" s="92">
        <v>121001.30965388214</v>
      </c>
      <c r="K74" s="92">
        <v>127051.37513657624</v>
      </c>
      <c r="L74" s="92">
        <v>133403.94389340508</v>
      </c>
      <c r="M74" s="92">
        <v>140074.14108807532</v>
      </c>
      <c r="N74" s="92">
        <v>233982.9310077975</v>
      </c>
      <c r="O74" s="92">
        <v>245682.07755818742</v>
      </c>
      <c r="P74" s="92">
        <v>257966.1814360968</v>
      </c>
      <c r="Q74" s="11">
        <v>270864.4905079016</v>
      </c>
      <c r="R74" s="92">
        <v>284407.7150332967</v>
      </c>
      <c r="S74" s="92">
        <v>298628.10078496154</v>
      </c>
      <c r="T74" s="92">
        <v>313559.50582420954</v>
      </c>
      <c r="U74" s="92">
        <v>329237.48111542006</v>
      </c>
      <c r="V74" s="92">
        <v>345699.35517119104</v>
      </c>
      <c r="W74" s="92">
        <v>362984.32292975066</v>
      </c>
      <c r="X74" s="92">
        <v>381133.5390762381</v>
      </c>
      <c r="Y74" s="92">
        <v>400190.21603005</v>
      </c>
      <c r="Z74" s="92">
        <v>531249.1958611333</v>
      </c>
      <c r="AA74" s="92">
        <v>557811.65565419</v>
      </c>
      <c r="AB74" s="92">
        <v>585702.2384368996</v>
      </c>
      <c r="AC74" s="11">
        <v>614987.3503587444</v>
      </c>
      <c r="AD74" s="92">
        <v>645736.7178766817</v>
      </c>
      <c r="AE74" s="92">
        <v>678023.5537705158</v>
      </c>
      <c r="AF74" s="92">
        <v>711924.7314590416</v>
      </c>
      <c r="AG74" s="92">
        <v>747520.9680319936</v>
      </c>
      <c r="AH74" s="92">
        <v>784897.0164335934</v>
      </c>
      <c r="AI74" s="92">
        <v>824141.867255273</v>
      </c>
      <c r="AJ74" s="92">
        <v>865348.9606180367</v>
      </c>
      <c r="AK74" s="92">
        <v>908616.4086489386</v>
      </c>
    </row>
    <row r="75" spans="1:37" ht="13.5">
      <c r="A75" s="30" t="s">
        <v>534</v>
      </c>
      <c r="B75" s="30">
        <f>B74*$C$50</f>
        <v>0</v>
      </c>
      <c r="C75" s="30">
        <f aca="true" t="shared" si="21" ref="C75:M75">C74*$C$50</f>
        <v>0</v>
      </c>
      <c r="D75" s="30">
        <f t="shared" si="21"/>
        <v>0</v>
      </c>
      <c r="E75" s="30">
        <f t="shared" si="21"/>
        <v>18961.538458153846</v>
      </c>
      <c r="F75" s="30">
        <f t="shared" si="21"/>
        <v>19909.61538106154</v>
      </c>
      <c r="G75" s="30">
        <f t="shared" si="21"/>
        <v>20905.096150114616</v>
      </c>
      <c r="H75" s="30">
        <f t="shared" si="21"/>
        <v>21950.350957620347</v>
      </c>
      <c r="I75" s="30">
        <f t="shared" si="21"/>
        <v>23047.86850550136</v>
      </c>
      <c r="J75" s="30">
        <f t="shared" si="21"/>
        <v>24200.26193077643</v>
      </c>
      <c r="K75" s="30">
        <f t="shared" si="21"/>
        <v>25410.27502731525</v>
      </c>
      <c r="L75" s="30">
        <f t="shared" si="21"/>
        <v>26680.788778681017</v>
      </c>
      <c r="M75" s="30">
        <f t="shared" si="21"/>
        <v>28014.828217615068</v>
      </c>
      <c r="N75" s="30">
        <f>N74*$D$50</f>
        <v>46796.586201559505</v>
      </c>
      <c r="O75" s="30">
        <f aca="true" t="shared" si="22" ref="O75:Y75">O74*$D$50</f>
        <v>49136.41551163749</v>
      </c>
      <c r="P75" s="30">
        <f t="shared" si="22"/>
        <v>51593.23628721936</v>
      </c>
      <c r="Q75" s="30">
        <f t="shared" si="22"/>
        <v>54172.89810158032</v>
      </c>
      <c r="R75" s="30">
        <f t="shared" si="22"/>
        <v>56881.54300665935</v>
      </c>
      <c r="S75" s="30">
        <f t="shared" si="22"/>
        <v>59725.620156992314</v>
      </c>
      <c r="T75" s="30">
        <f t="shared" si="22"/>
        <v>62711.90116484191</v>
      </c>
      <c r="U75" s="30">
        <f t="shared" si="22"/>
        <v>65847.49622308402</v>
      </c>
      <c r="V75" s="30">
        <f t="shared" si="22"/>
        <v>69139.87103423821</v>
      </c>
      <c r="W75" s="30">
        <f t="shared" si="22"/>
        <v>72596.86458595014</v>
      </c>
      <c r="X75" s="30">
        <f t="shared" si="22"/>
        <v>76226.70781524763</v>
      </c>
      <c r="Y75" s="30">
        <f t="shared" si="22"/>
        <v>80038.04320601001</v>
      </c>
      <c r="Z75" s="30">
        <f>Z74*$E$50</f>
        <v>106249.83917222667</v>
      </c>
      <c r="AA75" s="30">
        <f aca="true" t="shared" si="23" ref="AA75:AK75">AA74*$E$50</f>
        <v>111562.331130838</v>
      </c>
      <c r="AB75" s="30">
        <f t="shared" si="23"/>
        <v>117140.44768737993</v>
      </c>
      <c r="AC75" s="30">
        <f t="shared" si="23"/>
        <v>122997.47007174889</v>
      </c>
      <c r="AD75" s="30">
        <f t="shared" si="23"/>
        <v>129147.34357533634</v>
      </c>
      <c r="AE75" s="30">
        <f t="shared" si="23"/>
        <v>135604.71075410317</v>
      </c>
      <c r="AF75" s="30">
        <f t="shared" si="23"/>
        <v>142384.94629180833</v>
      </c>
      <c r="AG75" s="30">
        <f t="shared" si="23"/>
        <v>149504.19360639874</v>
      </c>
      <c r="AH75" s="30">
        <f t="shared" si="23"/>
        <v>156979.40328671868</v>
      </c>
      <c r="AI75" s="30">
        <f t="shared" si="23"/>
        <v>164828.37345105462</v>
      </c>
      <c r="AJ75" s="30">
        <f t="shared" si="23"/>
        <v>173069.79212360736</v>
      </c>
      <c r="AK75" s="30">
        <f t="shared" si="23"/>
        <v>181723.28172978773</v>
      </c>
    </row>
    <row r="76" spans="5:29" ht="13.5">
      <c r="E76" s="48"/>
      <c r="N76" s="30">
        <f>SUM(B75:M75)</f>
        <v>209080.6234068395</v>
      </c>
      <c r="Q76" s="48"/>
      <c r="AC76" s="48"/>
    </row>
    <row r="77" spans="5:29" ht="13.5">
      <c r="E77" s="48"/>
      <c r="Q77" s="48"/>
      <c r="AC77" s="48"/>
    </row>
    <row r="78" spans="1:37" ht="13.5">
      <c r="A78" s="63" t="s">
        <v>329</v>
      </c>
      <c r="B78" s="30">
        <f>B63+B65+B67+B69+B71</f>
        <v>0</v>
      </c>
      <c r="C78" s="30">
        <f aca="true" t="shared" si="24" ref="C78:AK78">C63+C65+C67+C69+C71</f>
        <v>0</v>
      </c>
      <c r="D78" s="30">
        <f t="shared" si="24"/>
        <v>0</v>
      </c>
      <c r="E78" s="30">
        <f t="shared" si="24"/>
        <v>35108</v>
      </c>
      <c r="F78" s="30">
        <f t="shared" si="24"/>
        <v>60330.575</v>
      </c>
      <c r="G78" s="30">
        <f t="shared" si="24"/>
        <v>79188.575</v>
      </c>
      <c r="H78" s="30">
        <f t="shared" si="24"/>
        <v>98046.575</v>
      </c>
      <c r="I78" s="30">
        <f t="shared" si="24"/>
        <v>123269.15</v>
      </c>
      <c r="J78" s="30">
        <f t="shared" si="24"/>
        <v>142127.15000000002</v>
      </c>
      <c r="K78" s="30">
        <f t="shared" si="24"/>
        <v>160985.15000000002</v>
      </c>
      <c r="L78" s="30">
        <f t="shared" si="24"/>
        <v>179843.15</v>
      </c>
      <c r="M78" s="30">
        <f t="shared" si="24"/>
        <v>242546</v>
      </c>
      <c r="N78" s="30">
        <f t="shared" si="24"/>
        <v>298804.14</v>
      </c>
      <c r="O78" s="30">
        <f t="shared" si="24"/>
        <v>325707.48000000004</v>
      </c>
      <c r="P78" s="30">
        <f t="shared" si="24"/>
        <v>352610.82000000007</v>
      </c>
      <c r="Q78" s="30">
        <f t="shared" si="24"/>
        <v>379514.16000000003</v>
      </c>
      <c r="R78" s="30">
        <f t="shared" si="24"/>
        <v>406417.5</v>
      </c>
      <c r="S78" s="30">
        <f t="shared" si="24"/>
        <v>433320.83999999997</v>
      </c>
      <c r="T78" s="30">
        <f t="shared" si="24"/>
        <v>460224.18000000005</v>
      </c>
      <c r="U78" s="30">
        <f t="shared" si="24"/>
        <v>487127.5200000001</v>
      </c>
      <c r="V78" s="30">
        <f t="shared" si="24"/>
        <v>514030.8600000001</v>
      </c>
      <c r="W78" s="30">
        <f t="shared" si="24"/>
        <v>540934.2000000001</v>
      </c>
      <c r="X78" s="30">
        <f t="shared" si="24"/>
        <v>567837.5400000002</v>
      </c>
      <c r="Y78" s="30">
        <f t="shared" si="24"/>
        <v>594740.8800000001</v>
      </c>
      <c r="Z78" s="30">
        <f t="shared" si="24"/>
        <v>666478.53</v>
      </c>
      <c r="AA78" s="30">
        <f t="shared" si="24"/>
        <v>690627.15</v>
      </c>
      <c r="AB78" s="30">
        <f t="shared" si="24"/>
        <v>714775.77</v>
      </c>
      <c r="AC78" s="30">
        <f t="shared" si="24"/>
        <v>738924.39</v>
      </c>
      <c r="AD78" s="30">
        <f t="shared" si="24"/>
        <v>763073.0099999999</v>
      </c>
      <c r="AE78" s="30">
        <f t="shared" si="24"/>
        <v>787221.6299999997</v>
      </c>
      <c r="AF78" s="30">
        <f t="shared" si="24"/>
        <v>811370.2499999998</v>
      </c>
      <c r="AG78" s="30">
        <f t="shared" si="24"/>
        <v>835518.8699999995</v>
      </c>
      <c r="AH78" s="30">
        <f t="shared" si="24"/>
        <v>859667.4899999996</v>
      </c>
      <c r="AI78" s="30">
        <f t="shared" si="24"/>
        <v>883816.1099999996</v>
      </c>
      <c r="AJ78" s="30">
        <f t="shared" si="24"/>
        <v>907964.7299999995</v>
      </c>
      <c r="AK78" s="30">
        <f t="shared" si="24"/>
        <v>932113.35</v>
      </c>
    </row>
    <row r="80" spans="12:37" ht="13.5">
      <c r="L80" s="63" t="s">
        <v>324</v>
      </c>
      <c r="M80" s="48">
        <f>SUM(B78:M78)</f>
        <v>1121444.3250000002</v>
      </c>
      <c r="X80" s="64" t="s">
        <v>476</v>
      </c>
      <c r="Y80" s="48">
        <f>SUM(N78:Y78)</f>
        <v>5361270.12</v>
      </c>
      <c r="AJ80" s="64" t="s">
        <v>475</v>
      </c>
      <c r="AK80" s="30">
        <f>SUM(Z78:AK78)</f>
        <v>9591551.279999996</v>
      </c>
    </row>
    <row r="81" spans="1:37" ht="13.5">
      <c r="A81" s="30" t="s">
        <v>562</v>
      </c>
      <c r="B81" s="30">
        <f>SUM(B63,B65,B67,B69,B71)</f>
        <v>0</v>
      </c>
      <c r="C81" s="30">
        <f>SUM(C63,C65,C67,C69,C71)</f>
        <v>0</v>
      </c>
      <c r="D81" s="30">
        <f>SUM(D63,D65,D67,D69,D71)</f>
        <v>0</v>
      </c>
      <c r="E81" s="30">
        <f aca="true" t="shared" si="25" ref="E81:K81">SUM(E63,E65,E67,E69)</f>
        <v>18858</v>
      </c>
      <c r="F81" s="30">
        <f t="shared" si="25"/>
        <v>44080.575</v>
      </c>
      <c r="G81" s="30">
        <f t="shared" si="25"/>
        <v>62938.575</v>
      </c>
      <c r="H81" s="30">
        <f t="shared" si="25"/>
        <v>81796.575</v>
      </c>
      <c r="I81" s="30">
        <f t="shared" si="25"/>
        <v>107019.15</v>
      </c>
      <c r="J81" s="30">
        <f t="shared" si="25"/>
        <v>125877.15000000004</v>
      </c>
      <c r="K81" s="30">
        <f t="shared" si="25"/>
        <v>144735.15000000002</v>
      </c>
      <c r="L81" s="30">
        <f>SUM(L63,L65,L67,L69)</f>
        <v>163593.15</v>
      </c>
      <c r="M81" s="30">
        <f aca="true" t="shared" si="26" ref="M81:AK81">SUM(M63,M65,M67,M69)</f>
        <v>226296</v>
      </c>
      <c r="N81" s="30">
        <f t="shared" si="26"/>
        <v>266044.14</v>
      </c>
      <c r="O81" s="30">
        <f t="shared" si="26"/>
        <v>292947.48000000004</v>
      </c>
      <c r="P81" s="30">
        <f t="shared" si="26"/>
        <v>319850.82000000007</v>
      </c>
      <c r="Q81" s="30">
        <f t="shared" si="26"/>
        <v>346754.16000000003</v>
      </c>
      <c r="R81" s="30">
        <f t="shared" si="26"/>
        <v>373657.5</v>
      </c>
      <c r="S81" s="30">
        <f t="shared" si="26"/>
        <v>400560.83999999997</v>
      </c>
      <c r="T81" s="30">
        <f t="shared" si="26"/>
        <v>427464.18000000005</v>
      </c>
      <c r="U81" s="30">
        <f t="shared" si="26"/>
        <v>454367.5200000001</v>
      </c>
      <c r="V81" s="30">
        <f t="shared" si="26"/>
        <v>481270.8600000001</v>
      </c>
      <c r="W81" s="30">
        <f t="shared" si="26"/>
        <v>508174.20000000007</v>
      </c>
      <c r="X81" s="30">
        <f t="shared" si="26"/>
        <v>535077.5400000002</v>
      </c>
      <c r="Y81" s="30">
        <f t="shared" si="26"/>
        <v>561980.8800000001</v>
      </c>
      <c r="Z81" s="30">
        <f t="shared" si="26"/>
        <v>616314.78</v>
      </c>
      <c r="AA81" s="30">
        <f t="shared" si="26"/>
        <v>640463.4</v>
      </c>
      <c r="AB81" s="30">
        <f t="shared" si="26"/>
        <v>664612.02</v>
      </c>
      <c r="AC81" s="30">
        <f t="shared" si="26"/>
        <v>688760.64</v>
      </c>
      <c r="AD81" s="30">
        <f t="shared" si="26"/>
        <v>712909.2599999999</v>
      </c>
      <c r="AE81" s="30">
        <f t="shared" si="26"/>
        <v>737057.8799999997</v>
      </c>
      <c r="AF81" s="30">
        <f t="shared" si="26"/>
        <v>761206.4999999998</v>
      </c>
      <c r="AG81" s="30">
        <f t="shared" si="26"/>
        <v>785355.1199999995</v>
      </c>
      <c r="AH81" s="30">
        <f t="shared" si="26"/>
        <v>809503.7399999996</v>
      </c>
      <c r="AI81" s="30">
        <f t="shared" si="26"/>
        <v>833652.3599999996</v>
      </c>
      <c r="AJ81" s="30">
        <f t="shared" si="26"/>
        <v>857800.9799999995</v>
      </c>
      <c r="AK81" s="30">
        <f t="shared" si="26"/>
        <v>881949.6</v>
      </c>
    </row>
    <row r="82" spans="1:37" ht="13.5">
      <c r="A82" s="63" t="s">
        <v>561</v>
      </c>
      <c r="B82" s="376" t="s">
        <v>563</v>
      </c>
      <c r="C82" s="376" t="s">
        <v>563</v>
      </c>
      <c r="D82" s="376" t="s">
        <v>563</v>
      </c>
      <c r="E82" s="376">
        <f>(E81/(E59*3))*1000</f>
        <v>7.8575</v>
      </c>
      <c r="F82" s="376">
        <f aca="true" t="shared" si="27" ref="F82:L82">(F81/(F59*3))*1000</f>
        <v>7.8575</v>
      </c>
      <c r="G82" s="376">
        <f t="shared" si="27"/>
        <v>7.8575</v>
      </c>
      <c r="H82" s="376">
        <f t="shared" si="27"/>
        <v>7.8575</v>
      </c>
      <c r="I82" s="376">
        <f t="shared" si="27"/>
        <v>7.8575</v>
      </c>
      <c r="J82" s="376">
        <f t="shared" si="27"/>
        <v>7.8575</v>
      </c>
      <c r="K82" s="376">
        <f t="shared" si="27"/>
        <v>7.8575</v>
      </c>
      <c r="L82" s="376">
        <f t="shared" si="27"/>
        <v>7.8575</v>
      </c>
      <c r="M82" s="376">
        <f>(M81/(M59*3))*1000</f>
        <v>7.8575</v>
      </c>
      <c r="N82" s="376">
        <f aca="true" t="shared" si="28" ref="N82:AK82">(N81/(N59*3))*1000</f>
        <v>8.3035</v>
      </c>
      <c r="O82" s="376">
        <f t="shared" si="28"/>
        <v>8.303500000000001</v>
      </c>
      <c r="P82" s="376">
        <f t="shared" si="28"/>
        <v>8.303500000000001</v>
      </c>
      <c r="Q82" s="376">
        <f t="shared" si="28"/>
        <v>8.3035</v>
      </c>
      <c r="R82" s="376">
        <f t="shared" si="28"/>
        <v>8.3035</v>
      </c>
      <c r="S82" s="376">
        <f t="shared" si="28"/>
        <v>8.3035</v>
      </c>
      <c r="T82" s="376">
        <f t="shared" si="28"/>
        <v>8.303500000000001</v>
      </c>
      <c r="U82" s="376">
        <f t="shared" si="28"/>
        <v>8.303500000000001</v>
      </c>
      <c r="V82" s="376">
        <f t="shared" si="28"/>
        <v>8.303500000000001</v>
      </c>
      <c r="W82" s="376">
        <f t="shared" si="28"/>
        <v>8.303500000000001</v>
      </c>
      <c r="X82" s="376">
        <f t="shared" si="28"/>
        <v>8.303500000000001</v>
      </c>
      <c r="Y82" s="376">
        <f t="shared" si="28"/>
        <v>8.303500000000001</v>
      </c>
      <c r="Z82" s="376">
        <f t="shared" si="28"/>
        <v>8.749500000000001</v>
      </c>
      <c r="AA82" s="376">
        <f t="shared" si="28"/>
        <v>8.749500000000001</v>
      </c>
      <c r="AB82" s="376">
        <f t="shared" si="28"/>
        <v>8.749500000000001</v>
      </c>
      <c r="AC82" s="376">
        <f t="shared" si="28"/>
        <v>8.749500000000001</v>
      </c>
      <c r="AD82" s="376">
        <f t="shared" si="28"/>
        <v>8.749500000000001</v>
      </c>
      <c r="AE82" s="376">
        <f t="shared" si="28"/>
        <v>8.7495</v>
      </c>
      <c r="AF82" s="376">
        <f t="shared" si="28"/>
        <v>8.749500000000001</v>
      </c>
      <c r="AG82" s="376">
        <f t="shared" si="28"/>
        <v>8.749499999999998</v>
      </c>
      <c r="AH82" s="376">
        <f t="shared" si="28"/>
        <v>8.7495</v>
      </c>
      <c r="AI82" s="376">
        <f t="shared" si="28"/>
        <v>8.749500000000001</v>
      </c>
      <c r="AJ82" s="376">
        <f t="shared" si="28"/>
        <v>8.7495</v>
      </c>
      <c r="AK82" s="376">
        <f t="shared" si="28"/>
        <v>8.749500000000001</v>
      </c>
    </row>
    <row r="83" spans="27:53" ht="13.5">
      <c r="AA83" s="48"/>
      <c r="AC83" s="48"/>
      <c r="AM83" s="48"/>
      <c r="AO83" s="48"/>
      <c r="AY83" s="48"/>
      <c r="BA83" s="48"/>
    </row>
  </sheetData>
  <mergeCells count="2">
    <mergeCell ref="A2:B2"/>
    <mergeCell ref="A4:B4"/>
  </mergeCells>
  <hyperlinks>
    <hyperlink ref="F19" r:id="rId1" display="http://www.boston.com/business/globe/articles/2007/11/06/online_figures/"/>
  </hyperlink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AS336"/>
  <sheetViews>
    <sheetView zoomScale="110" zoomScaleNormal="110" workbookViewId="0" topLeftCell="A1">
      <selection activeCell="K14" sqref="K14"/>
    </sheetView>
  </sheetViews>
  <sheetFormatPr defaultColWidth="11.57421875" defaultRowHeight="12.75"/>
  <cols>
    <col min="1" max="1" width="3.140625" style="25" customWidth="1"/>
    <col min="2" max="2" width="29.7109375" style="25" customWidth="1"/>
    <col min="3" max="3" width="11.421875" style="25" customWidth="1"/>
    <col min="4" max="5" width="14.421875" style="25" bestFit="1" customWidth="1"/>
    <col min="6" max="6" width="33.7109375" style="25" customWidth="1"/>
    <col min="7" max="7" width="4.421875" style="25" customWidth="1"/>
    <col min="8" max="8" width="12.14062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1" ht="10.5" customHeight="1" thickBot="1"/>
    <row r="2" spans="1:43" ht="12.75">
      <c r="A2" s="270" t="s">
        <v>451</v>
      </c>
      <c r="B2" s="231"/>
      <c r="C2" s="327" t="s">
        <v>196</v>
      </c>
      <c r="D2" s="327" t="s">
        <v>197</v>
      </c>
      <c r="E2" s="327" t="s">
        <v>198</v>
      </c>
      <c r="F2" s="328" t="s">
        <v>207</v>
      </c>
      <c r="H2" s="53" t="s">
        <v>196</v>
      </c>
      <c r="I2" s="54"/>
      <c r="J2" s="54"/>
      <c r="K2" s="54"/>
      <c r="L2" s="54"/>
      <c r="M2" s="54"/>
      <c r="N2" s="54"/>
      <c r="O2" s="54"/>
      <c r="P2" s="54"/>
      <c r="Q2" s="54"/>
      <c r="R2" s="54"/>
      <c r="S2" s="39"/>
      <c r="T2" s="53" t="s">
        <v>197</v>
      </c>
      <c r="U2" s="54"/>
      <c r="V2" s="54"/>
      <c r="W2" s="54"/>
      <c r="X2" s="54"/>
      <c r="Y2" s="54"/>
      <c r="Z2" s="54"/>
      <c r="AA2" s="54"/>
      <c r="AB2" s="54"/>
      <c r="AC2" s="54"/>
      <c r="AD2" s="54"/>
      <c r="AE2" s="39"/>
      <c r="AF2" s="53" t="s">
        <v>198</v>
      </c>
      <c r="AG2" s="54"/>
      <c r="AH2" s="54"/>
      <c r="AI2" s="54"/>
      <c r="AJ2" s="54"/>
      <c r="AK2" s="54"/>
      <c r="AL2" s="54"/>
      <c r="AM2" s="54"/>
      <c r="AN2" s="54"/>
      <c r="AO2" s="54"/>
      <c r="AP2" s="54"/>
      <c r="AQ2" s="39"/>
    </row>
    <row r="3" spans="1:43" ht="12.75">
      <c r="A3" s="32"/>
      <c r="B3" s="26"/>
      <c r="C3" s="26"/>
      <c r="D3" s="26"/>
      <c r="E3" s="26"/>
      <c r="F3" s="108"/>
      <c r="H3" s="40" t="s">
        <v>200</v>
      </c>
      <c r="I3" s="41" t="s">
        <v>201</v>
      </c>
      <c r="J3" s="41" t="s">
        <v>202</v>
      </c>
      <c r="K3" s="41" t="s">
        <v>203</v>
      </c>
      <c r="L3" s="41" t="s">
        <v>477</v>
      </c>
      <c r="M3" s="41" t="s">
        <v>357</v>
      </c>
      <c r="N3" s="41" t="s">
        <v>358</v>
      </c>
      <c r="O3" s="41" t="s">
        <v>359</v>
      </c>
      <c r="P3" s="41" t="s">
        <v>360</v>
      </c>
      <c r="Q3" s="41" t="s">
        <v>361</v>
      </c>
      <c r="R3" s="41" t="s">
        <v>362</v>
      </c>
      <c r="S3" s="41" t="s">
        <v>363</v>
      </c>
      <c r="T3" s="41" t="s">
        <v>200</v>
      </c>
      <c r="U3" s="41" t="s">
        <v>201</v>
      </c>
      <c r="V3" s="41" t="s">
        <v>202</v>
      </c>
      <c r="W3" s="41" t="s">
        <v>203</v>
      </c>
      <c r="X3" s="41" t="s">
        <v>477</v>
      </c>
      <c r="Y3" s="41" t="s">
        <v>357</v>
      </c>
      <c r="Z3" s="41" t="s">
        <v>358</v>
      </c>
      <c r="AA3" s="41" t="s">
        <v>359</v>
      </c>
      <c r="AB3" s="41" t="s">
        <v>360</v>
      </c>
      <c r="AC3" s="41" t="s">
        <v>361</v>
      </c>
      <c r="AD3" s="41" t="s">
        <v>362</v>
      </c>
      <c r="AE3" s="41" t="s">
        <v>363</v>
      </c>
      <c r="AF3" s="43" t="s">
        <v>200</v>
      </c>
      <c r="AG3" s="43" t="s">
        <v>201</v>
      </c>
      <c r="AH3" s="43" t="s">
        <v>202</v>
      </c>
      <c r="AI3" s="43" t="s">
        <v>203</v>
      </c>
      <c r="AJ3" s="43" t="s">
        <v>477</v>
      </c>
      <c r="AK3" s="43" t="s">
        <v>357</v>
      </c>
      <c r="AL3" s="43" t="s">
        <v>358</v>
      </c>
      <c r="AM3" s="43" t="s">
        <v>359</v>
      </c>
      <c r="AN3" s="43" t="s">
        <v>360</v>
      </c>
      <c r="AO3" s="43" t="s">
        <v>361</v>
      </c>
      <c r="AP3" s="43" t="s">
        <v>362</v>
      </c>
      <c r="AQ3" s="106" t="s">
        <v>363</v>
      </c>
    </row>
    <row r="4" spans="1:43" ht="12.75">
      <c r="A4" s="32" t="s">
        <v>262</v>
      </c>
      <c r="B4" s="26"/>
      <c r="C4" s="153">
        <f>C52</f>
        <v>14560</v>
      </c>
      <c r="D4" s="153">
        <f>D52</f>
        <v>47902.4</v>
      </c>
      <c r="E4" s="153">
        <f>E52</f>
        <v>91728</v>
      </c>
      <c r="F4" s="108" t="s">
        <v>452</v>
      </c>
      <c r="H4" s="111">
        <v>0</v>
      </c>
      <c r="I4" s="23">
        <v>0</v>
      </c>
      <c r="J4" s="23">
        <v>0</v>
      </c>
      <c r="K4" s="23">
        <f aca="true" t="shared" si="0" ref="K4:S4">$C$4/12</f>
        <v>1213.3333333333333</v>
      </c>
      <c r="L4" s="23">
        <f t="shared" si="0"/>
        <v>1213.3333333333333</v>
      </c>
      <c r="M4" s="23">
        <f t="shared" si="0"/>
        <v>1213.3333333333333</v>
      </c>
      <c r="N4" s="23">
        <f t="shared" si="0"/>
        <v>1213.3333333333333</v>
      </c>
      <c r="O4" s="23">
        <f t="shared" si="0"/>
        <v>1213.3333333333333</v>
      </c>
      <c r="P4" s="23">
        <f t="shared" si="0"/>
        <v>1213.3333333333333</v>
      </c>
      <c r="Q4" s="23">
        <f t="shared" si="0"/>
        <v>1213.3333333333333</v>
      </c>
      <c r="R4" s="23">
        <f t="shared" si="0"/>
        <v>1213.3333333333333</v>
      </c>
      <c r="S4" s="23">
        <f t="shared" si="0"/>
        <v>1213.3333333333333</v>
      </c>
      <c r="T4" s="23">
        <f>$D$4/12</f>
        <v>3991.866666666667</v>
      </c>
      <c r="U4" s="23">
        <f aca="true" t="shared" si="1" ref="U4:AE4">$D$4/12</f>
        <v>3991.866666666667</v>
      </c>
      <c r="V4" s="23">
        <f t="shared" si="1"/>
        <v>3991.866666666667</v>
      </c>
      <c r="W4" s="23">
        <f t="shared" si="1"/>
        <v>3991.866666666667</v>
      </c>
      <c r="X4" s="23">
        <f t="shared" si="1"/>
        <v>3991.866666666667</v>
      </c>
      <c r="Y4" s="23">
        <f t="shared" si="1"/>
        <v>3991.866666666667</v>
      </c>
      <c r="Z4" s="23">
        <f t="shared" si="1"/>
        <v>3991.866666666667</v>
      </c>
      <c r="AA4" s="23">
        <f t="shared" si="1"/>
        <v>3991.866666666667</v>
      </c>
      <c r="AB4" s="23">
        <f t="shared" si="1"/>
        <v>3991.866666666667</v>
      </c>
      <c r="AC4" s="23">
        <f t="shared" si="1"/>
        <v>3991.866666666667</v>
      </c>
      <c r="AD4" s="23">
        <f t="shared" si="1"/>
        <v>3991.866666666667</v>
      </c>
      <c r="AE4" s="23">
        <f t="shared" si="1"/>
        <v>3991.866666666667</v>
      </c>
      <c r="AF4" s="23">
        <f>$E$4/12</f>
        <v>7644</v>
      </c>
      <c r="AG4" s="23">
        <f aca="true" t="shared" si="2" ref="AG4:AQ4">$E$4/12</f>
        <v>7644</v>
      </c>
      <c r="AH4" s="23">
        <f t="shared" si="2"/>
        <v>7644</v>
      </c>
      <c r="AI4" s="23">
        <f t="shared" si="2"/>
        <v>7644</v>
      </c>
      <c r="AJ4" s="23">
        <f t="shared" si="2"/>
        <v>7644</v>
      </c>
      <c r="AK4" s="23">
        <f t="shared" si="2"/>
        <v>7644</v>
      </c>
      <c r="AL4" s="23">
        <f t="shared" si="2"/>
        <v>7644</v>
      </c>
      <c r="AM4" s="23">
        <f t="shared" si="2"/>
        <v>7644</v>
      </c>
      <c r="AN4" s="23">
        <f t="shared" si="2"/>
        <v>7644</v>
      </c>
      <c r="AO4" s="23">
        <f t="shared" si="2"/>
        <v>7644</v>
      </c>
      <c r="AP4" s="23">
        <f t="shared" si="2"/>
        <v>7644</v>
      </c>
      <c r="AQ4" s="112">
        <f t="shared" si="2"/>
        <v>7644</v>
      </c>
    </row>
    <row r="5" spans="1:43" ht="12.75">
      <c r="A5" s="32"/>
      <c r="B5" s="26"/>
      <c r="C5" s="26"/>
      <c r="D5" s="26"/>
      <c r="E5" s="26"/>
      <c r="F5" s="108"/>
      <c r="H5" s="40"/>
      <c r="I5" s="41"/>
      <c r="J5" s="41"/>
      <c r="K5" s="41"/>
      <c r="L5" s="41"/>
      <c r="M5" s="41"/>
      <c r="N5" s="41"/>
      <c r="O5" s="41"/>
      <c r="P5" s="41"/>
      <c r="Q5" s="41"/>
      <c r="R5" s="41"/>
      <c r="S5" s="41"/>
      <c r="T5" s="41"/>
      <c r="U5" s="41"/>
      <c r="V5" s="41"/>
      <c r="W5" s="41"/>
      <c r="X5" s="41"/>
      <c r="Y5" s="41"/>
      <c r="Z5" s="41"/>
      <c r="AA5" s="41"/>
      <c r="AB5" s="41"/>
      <c r="AC5" s="41"/>
      <c r="AD5" s="41"/>
      <c r="AE5" s="41"/>
      <c r="AF5" s="43"/>
      <c r="AG5" s="43"/>
      <c r="AH5" s="43"/>
      <c r="AI5" s="43"/>
      <c r="AJ5" s="43"/>
      <c r="AK5" s="43"/>
      <c r="AL5" s="43"/>
      <c r="AM5" s="43"/>
      <c r="AN5" s="43"/>
      <c r="AO5" s="43"/>
      <c r="AP5" s="43"/>
      <c r="AQ5" s="106"/>
    </row>
    <row r="6" spans="1:43" ht="12.75">
      <c r="A6" s="32" t="s">
        <v>263</v>
      </c>
      <c r="B6" s="26"/>
      <c r="C6" s="23">
        <f>C73</f>
        <v>312000</v>
      </c>
      <c r="D6" s="23">
        <f>D73</f>
        <v>416000</v>
      </c>
      <c r="E6" s="23">
        <f>E73</f>
        <v>416000</v>
      </c>
      <c r="F6" s="108" t="s">
        <v>452</v>
      </c>
      <c r="H6" s="111">
        <v>0</v>
      </c>
      <c r="I6" s="111">
        <v>0</v>
      </c>
      <c r="J6" s="111">
        <v>0</v>
      </c>
      <c r="K6" s="111">
        <f>$C$6/9</f>
        <v>34666.666666666664</v>
      </c>
      <c r="L6" s="111">
        <f aca="true" t="shared" si="3" ref="L6:S6">$C$6/9</f>
        <v>34666.666666666664</v>
      </c>
      <c r="M6" s="111">
        <f t="shared" si="3"/>
        <v>34666.666666666664</v>
      </c>
      <c r="N6" s="111">
        <f t="shared" si="3"/>
        <v>34666.666666666664</v>
      </c>
      <c r="O6" s="111">
        <f t="shared" si="3"/>
        <v>34666.666666666664</v>
      </c>
      <c r="P6" s="111">
        <f t="shared" si="3"/>
        <v>34666.666666666664</v>
      </c>
      <c r="Q6" s="111">
        <f t="shared" si="3"/>
        <v>34666.666666666664</v>
      </c>
      <c r="R6" s="111">
        <f t="shared" si="3"/>
        <v>34666.666666666664</v>
      </c>
      <c r="S6" s="111">
        <f t="shared" si="3"/>
        <v>34666.666666666664</v>
      </c>
      <c r="T6" s="23">
        <f>$D$6/12</f>
        <v>34666.666666666664</v>
      </c>
      <c r="U6" s="23">
        <f aca="true" t="shared" si="4" ref="U6:AE6">$D$6/12</f>
        <v>34666.666666666664</v>
      </c>
      <c r="V6" s="23">
        <f t="shared" si="4"/>
        <v>34666.666666666664</v>
      </c>
      <c r="W6" s="23">
        <f t="shared" si="4"/>
        <v>34666.666666666664</v>
      </c>
      <c r="X6" s="23">
        <f t="shared" si="4"/>
        <v>34666.666666666664</v>
      </c>
      <c r="Y6" s="23">
        <f t="shared" si="4"/>
        <v>34666.666666666664</v>
      </c>
      <c r="Z6" s="23">
        <f t="shared" si="4"/>
        <v>34666.666666666664</v>
      </c>
      <c r="AA6" s="23">
        <f t="shared" si="4"/>
        <v>34666.666666666664</v>
      </c>
      <c r="AB6" s="23">
        <f t="shared" si="4"/>
        <v>34666.666666666664</v>
      </c>
      <c r="AC6" s="23">
        <f t="shared" si="4"/>
        <v>34666.666666666664</v>
      </c>
      <c r="AD6" s="23">
        <f t="shared" si="4"/>
        <v>34666.666666666664</v>
      </c>
      <c r="AE6" s="23">
        <f t="shared" si="4"/>
        <v>34666.666666666664</v>
      </c>
      <c r="AF6" s="23">
        <f>$E$6/12</f>
        <v>34666.666666666664</v>
      </c>
      <c r="AG6" s="23">
        <f aca="true" t="shared" si="5" ref="AG6:AQ6">$E$6/12</f>
        <v>34666.666666666664</v>
      </c>
      <c r="AH6" s="23">
        <f t="shared" si="5"/>
        <v>34666.666666666664</v>
      </c>
      <c r="AI6" s="23">
        <f t="shared" si="5"/>
        <v>34666.666666666664</v>
      </c>
      <c r="AJ6" s="23">
        <f t="shared" si="5"/>
        <v>34666.666666666664</v>
      </c>
      <c r="AK6" s="23">
        <f t="shared" si="5"/>
        <v>34666.666666666664</v>
      </c>
      <c r="AL6" s="23">
        <f t="shared" si="5"/>
        <v>34666.666666666664</v>
      </c>
      <c r="AM6" s="23">
        <f t="shared" si="5"/>
        <v>34666.666666666664</v>
      </c>
      <c r="AN6" s="23">
        <f t="shared" si="5"/>
        <v>34666.666666666664</v>
      </c>
      <c r="AO6" s="23">
        <f t="shared" si="5"/>
        <v>34666.666666666664</v>
      </c>
      <c r="AP6" s="23">
        <f t="shared" si="5"/>
        <v>34666.666666666664</v>
      </c>
      <c r="AQ6" s="112">
        <f t="shared" si="5"/>
        <v>34666.666666666664</v>
      </c>
    </row>
    <row r="7" spans="1:43" ht="12.75">
      <c r="A7" s="32"/>
      <c r="B7" s="26"/>
      <c r="C7" s="37"/>
      <c r="D7" s="47"/>
      <c r="E7" s="47"/>
      <c r="F7" s="108"/>
      <c r="H7" s="154"/>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155"/>
    </row>
    <row r="8" spans="1:43" ht="12.75">
      <c r="A8" s="32" t="s">
        <v>264</v>
      </c>
      <c r="B8" s="156"/>
      <c r="C8" s="23">
        <f>C101</f>
        <v>165000</v>
      </c>
      <c r="D8" s="23">
        <f>D101</f>
        <v>275000</v>
      </c>
      <c r="E8" s="23">
        <f>E101</f>
        <v>330000</v>
      </c>
      <c r="F8" s="108" t="s">
        <v>452</v>
      </c>
      <c r="H8" s="111">
        <v>0</v>
      </c>
      <c r="I8" s="111">
        <v>0</v>
      </c>
      <c r="J8" s="111">
        <v>0</v>
      </c>
      <c r="K8" s="111">
        <f aca="true" t="shared" si="6" ref="K8:S8">$C$8/9</f>
        <v>18333.333333333332</v>
      </c>
      <c r="L8" s="111">
        <f t="shared" si="6"/>
        <v>18333.333333333332</v>
      </c>
      <c r="M8" s="111">
        <f t="shared" si="6"/>
        <v>18333.333333333332</v>
      </c>
      <c r="N8" s="111">
        <f t="shared" si="6"/>
        <v>18333.333333333332</v>
      </c>
      <c r="O8" s="111">
        <f t="shared" si="6"/>
        <v>18333.333333333332</v>
      </c>
      <c r="P8" s="111">
        <f t="shared" si="6"/>
        <v>18333.333333333332</v>
      </c>
      <c r="Q8" s="111">
        <f t="shared" si="6"/>
        <v>18333.333333333332</v>
      </c>
      <c r="R8" s="111">
        <f t="shared" si="6"/>
        <v>18333.333333333332</v>
      </c>
      <c r="S8" s="111">
        <f t="shared" si="6"/>
        <v>18333.333333333332</v>
      </c>
      <c r="T8" s="23">
        <f aca="true" t="shared" si="7" ref="T8:AE8">$D$8/12</f>
        <v>22916.666666666668</v>
      </c>
      <c r="U8" s="23">
        <f t="shared" si="7"/>
        <v>22916.666666666668</v>
      </c>
      <c r="V8" s="23">
        <f t="shared" si="7"/>
        <v>22916.666666666668</v>
      </c>
      <c r="W8" s="23">
        <f t="shared" si="7"/>
        <v>22916.666666666668</v>
      </c>
      <c r="X8" s="23">
        <f t="shared" si="7"/>
        <v>22916.666666666668</v>
      </c>
      <c r="Y8" s="23">
        <f t="shared" si="7"/>
        <v>22916.666666666668</v>
      </c>
      <c r="Z8" s="23">
        <f t="shared" si="7"/>
        <v>22916.666666666668</v>
      </c>
      <c r="AA8" s="23">
        <f t="shared" si="7"/>
        <v>22916.666666666668</v>
      </c>
      <c r="AB8" s="23">
        <f t="shared" si="7"/>
        <v>22916.666666666668</v>
      </c>
      <c r="AC8" s="23">
        <f t="shared" si="7"/>
        <v>22916.666666666668</v>
      </c>
      <c r="AD8" s="23">
        <f t="shared" si="7"/>
        <v>22916.666666666668</v>
      </c>
      <c r="AE8" s="23">
        <f t="shared" si="7"/>
        <v>22916.666666666668</v>
      </c>
      <c r="AF8" s="23">
        <f aca="true" t="shared" si="8" ref="AF8:AQ8">$E$8/12</f>
        <v>27500</v>
      </c>
      <c r="AG8" s="23">
        <f t="shared" si="8"/>
        <v>27500</v>
      </c>
      <c r="AH8" s="23">
        <f t="shared" si="8"/>
        <v>27500</v>
      </c>
      <c r="AI8" s="23">
        <f t="shared" si="8"/>
        <v>27500</v>
      </c>
      <c r="AJ8" s="23">
        <f t="shared" si="8"/>
        <v>27500</v>
      </c>
      <c r="AK8" s="23">
        <f t="shared" si="8"/>
        <v>27500</v>
      </c>
      <c r="AL8" s="23">
        <f t="shared" si="8"/>
        <v>27500</v>
      </c>
      <c r="AM8" s="23">
        <f t="shared" si="8"/>
        <v>27500</v>
      </c>
      <c r="AN8" s="23">
        <f t="shared" si="8"/>
        <v>27500</v>
      </c>
      <c r="AO8" s="23">
        <f t="shared" si="8"/>
        <v>27500</v>
      </c>
      <c r="AP8" s="23">
        <f t="shared" si="8"/>
        <v>27500</v>
      </c>
      <c r="AQ8" s="112">
        <f t="shared" si="8"/>
        <v>27500</v>
      </c>
    </row>
    <row r="9" spans="1:43" ht="12.7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5" ht="12.75">
      <c r="A10" s="32" t="s">
        <v>390</v>
      </c>
      <c r="B10" s="26"/>
      <c r="C10" s="23">
        <f>C128</f>
        <v>75000</v>
      </c>
      <c r="D10" s="23">
        <f>D128</f>
        <v>75000</v>
      </c>
      <c r="E10" s="23">
        <f>E128</f>
        <v>75000</v>
      </c>
      <c r="F10" s="108" t="s">
        <v>452</v>
      </c>
      <c r="H10" s="111">
        <v>0</v>
      </c>
      <c r="I10" s="23">
        <v>0</v>
      </c>
      <c r="J10" s="23">
        <v>0</v>
      </c>
      <c r="K10" s="23">
        <f aca="true" t="shared" si="9" ref="K10:S10">$C$10/12</f>
        <v>6250</v>
      </c>
      <c r="L10" s="23">
        <f t="shared" si="9"/>
        <v>6250</v>
      </c>
      <c r="M10" s="23">
        <f t="shared" si="9"/>
        <v>6250</v>
      </c>
      <c r="N10" s="23">
        <f t="shared" si="9"/>
        <v>6250</v>
      </c>
      <c r="O10" s="23">
        <f t="shared" si="9"/>
        <v>6250</v>
      </c>
      <c r="P10" s="23">
        <f t="shared" si="9"/>
        <v>6250</v>
      </c>
      <c r="Q10" s="23">
        <f t="shared" si="9"/>
        <v>6250</v>
      </c>
      <c r="R10" s="23">
        <f t="shared" si="9"/>
        <v>6250</v>
      </c>
      <c r="S10" s="23">
        <f t="shared" si="9"/>
        <v>6250</v>
      </c>
      <c r="T10" s="23">
        <f aca="true" t="shared" si="10" ref="T10:AE10">$D$10/12</f>
        <v>6250</v>
      </c>
      <c r="U10" s="23">
        <f t="shared" si="10"/>
        <v>6250</v>
      </c>
      <c r="V10" s="23">
        <f t="shared" si="10"/>
        <v>6250</v>
      </c>
      <c r="W10" s="23">
        <f t="shared" si="10"/>
        <v>6250</v>
      </c>
      <c r="X10" s="23">
        <f t="shared" si="10"/>
        <v>6250</v>
      </c>
      <c r="Y10" s="23">
        <f t="shared" si="10"/>
        <v>6250</v>
      </c>
      <c r="Z10" s="23">
        <f t="shared" si="10"/>
        <v>6250</v>
      </c>
      <c r="AA10" s="23">
        <f t="shared" si="10"/>
        <v>6250</v>
      </c>
      <c r="AB10" s="23">
        <f t="shared" si="10"/>
        <v>6250</v>
      </c>
      <c r="AC10" s="23">
        <f t="shared" si="10"/>
        <v>6250</v>
      </c>
      <c r="AD10" s="23">
        <f t="shared" si="10"/>
        <v>6250</v>
      </c>
      <c r="AE10" s="23">
        <f t="shared" si="10"/>
        <v>6250</v>
      </c>
      <c r="AF10" s="23">
        <f aca="true" t="shared" si="11" ref="AF10:AQ10">$E$10/12</f>
        <v>6250</v>
      </c>
      <c r="AG10" s="23">
        <f t="shared" si="11"/>
        <v>6250</v>
      </c>
      <c r="AH10" s="23">
        <f t="shared" si="11"/>
        <v>6250</v>
      </c>
      <c r="AI10" s="23">
        <f t="shared" si="11"/>
        <v>6250</v>
      </c>
      <c r="AJ10" s="23">
        <f t="shared" si="11"/>
        <v>6250</v>
      </c>
      <c r="AK10" s="23">
        <f t="shared" si="11"/>
        <v>6250</v>
      </c>
      <c r="AL10" s="23">
        <f t="shared" si="11"/>
        <v>6250</v>
      </c>
      <c r="AM10" s="23">
        <f t="shared" si="11"/>
        <v>6250</v>
      </c>
      <c r="AN10" s="23">
        <f t="shared" si="11"/>
        <v>6250</v>
      </c>
      <c r="AO10" s="23">
        <f t="shared" si="11"/>
        <v>6250</v>
      </c>
      <c r="AP10" s="23">
        <f t="shared" si="11"/>
        <v>6250</v>
      </c>
      <c r="AQ10" s="112">
        <f t="shared" si="11"/>
        <v>6250</v>
      </c>
      <c r="AR10" s="157"/>
      <c r="AS10" s="157"/>
    </row>
    <row r="11" spans="1:45" ht="12.75">
      <c r="A11" s="32"/>
      <c r="B11" s="26"/>
      <c r="C11" s="23"/>
      <c r="D11" s="23"/>
      <c r="E11" s="23"/>
      <c r="F11" s="108"/>
      <c r="H11" s="11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112"/>
      <c r="AR11" s="157"/>
      <c r="AS11" s="157"/>
    </row>
    <row r="12" spans="1:45" ht="12.75">
      <c r="A12" s="32" t="s">
        <v>391</v>
      </c>
      <c r="B12" s="26"/>
      <c r="C12" s="23">
        <f>C148</f>
        <v>25200</v>
      </c>
      <c r="D12" s="23">
        <f>D148</f>
        <v>29400</v>
      </c>
      <c r="E12" s="23">
        <f>E148</f>
        <v>36400</v>
      </c>
      <c r="F12" s="108" t="s">
        <v>452</v>
      </c>
      <c r="H12" s="111">
        <v>0</v>
      </c>
      <c r="I12" s="23">
        <v>0</v>
      </c>
      <c r="J12" s="23">
        <v>0</v>
      </c>
      <c r="K12" s="23">
        <f aca="true" t="shared" si="12" ref="K12:S12">$C$12/12</f>
        <v>2100</v>
      </c>
      <c r="L12" s="23">
        <f t="shared" si="12"/>
        <v>2100</v>
      </c>
      <c r="M12" s="23">
        <f t="shared" si="12"/>
        <v>2100</v>
      </c>
      <c r="N12" s="23">
        <f t="shared" si="12"/>
        <v>2100</v>
      </c>
      <c r="O12" s="23">
        <f t="shared" si="12"/>
        <v>2100</v>
      </c>
      <c r="P12" s="23">
        <f t="shared" si="12"/>
        <v>2100</v>
      </c>
      <c r="Q12" s="23">
        <f t="shared" si="12"/>
        <v>2100</v>
      </c>
      <c r="R12" s="23">
        <f t="shared" si="12"/>
        <v>2100</v>
      </c>
      <c r="S12" s="23">
        <f t="shared" si="12"/>
        <v>2100</v>
      </c>
      <c r="T12" s="23">
        <f aca="true" t="shared" si="13" ref="T12:AE12">$D$12/12</f>
        <v>2450</v>
      </c>
      <c r="U12" s="23">
        <f t="shared" si="13"/>
        <v>2450</v>
      </c>
      <c r="V12" s="23">
        <f t="shared" si="13"/>
        <v>2450</v>
      </c>
      <c r="W12" s="23">
        <f t="shared" si="13"/>
        <v>2450</v>
      </c>
      <c r="X12" s="23">
        <f t="shared" si="13"/>
        <v>2450</v>
      </c>
      <c r="Y12" s="23">
        <f t="shared" si="13"/>
        <v>2450</v>
      </c>
      <c r="Z12" s="23">
        <f t="shared" si="13"/>
        <v>2450</v>
      </c>
      <c r="AA12" s="23">
        <f t="shared" si="13"/>
        <v>2450</v>
      </c>
      <c r="AB12" s="23">
        <f t="shared" si="13"/>
        <v>2450</v>
      </c>
      <c r="AC12" s="23">
        <f t="shared" si="13"/>
        <v>2450</v>
      </c>
      <c r="AD12" s="23">
        <f t="shared" si="13"/>
        <v>2450</v>
      </c>
      <c r="AE12" s="23">
        <f t="shared" si="13"/>
        <v>2450</v>
      </c>
      <c r="AF12" s="23">
        <f aca="true" t="shared" si="14" ref="AF12:AQ12">$E$12/12</f>
        <v>3033.3333333333335</v>
      </c>
      <c r="AG12" s="23">
        <f t="shared" si="14"/>
        <v>3033.3333333333335</v>
      </c>
      <c r="AH12" s="23">
        <f t="shared" si="14"/>
        <v>3033.3333333333335</v>
      </c>
      <c r="AI12" s="23">
        <f t="shared" si="14"/>
        <v>3033.3333333333335</v>
      </c>
      <c r="AJ12" s="23">
        <f t="shared" si="14"/>
        <v>3033.3333333333335</v>
      </c>
      <c r="AK12" s="23">
        <f t="shared" si="14"/>
        <v>3033.3333333333335</v>
      </c>
      <c r="AL12" s="23">
        <f t="shared" si="14"/>
        <v>3033.3333333333335</v>
      </c>
      <c r="AM12" s="23">
        <f t="shared" si="14"/>
        <v>3033.3333333333335</v>
      </c>
      <c r="AN12" s="23">
        <f t="shared" si="14"/>
        <v>3033.3333333333335</v>
      </c>
      <c r="AO12" s="23">
        <f t="shared" si="14"/>
        <v>3033.3333333333335</v>
      </c>
      <c r="AP12" s="23">
        <f t="shared" si="14"/>
        <v>3033.3333333333335</v>
      </c>
      <c r="AQ12" s="112">
        <f t="shared" si="14"/>
        <v>3033.3333333333335</v>
      </c>
      <c r="AR12" s="157"/>
      <c r="AS12" s="157"/>
    </row>
    <row r="13" spans="1:45" ht="12.7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2.75">
      <c r="A14" s="32" t="s">
        <v>392</v>
      </c>
      <c r="B14" s="26"/>
      <c r="C14" s="23">
        <f>C171</f>
        <v>6000</v>
      </c>
      <c r="D14" s="23">
        <f>D171</f>
        <v>28200</v>
      </c>
      <c r="E14" s="23">
        <f>E171</f>
        <v>105000</v>
      </c>
      <c r="F14" s="108" t="s">
        <v>452</v>
      </c>
      <c r="H14" s="111">
        <v>0</v>
      </c>
      <c r="I14" s="23">
        <v>0</v>
      </c>
      <c r="J14" s="23">
        <v>0</v>
      </c>
      <c r="K14" s="23">
        <f aca="true" t="shared" si="15" ref="K14:R14">$C$14/12</f>
        <v>500</v>
      </c>
      <c r="L14" s="23">
        <f t="shared" si="15"/>
        <v>500</v>
      </c>
      <c r="M14" s="23">
        <f t="shared" si="15"/>
        <v>500</v>
      </c>
      <c r="N14" s="23">
        <f t="shared" si="15"/>
        <v>500</v>
      </c>
      <c r="O14" s="23">
        <f t="shared" si="15"/>
        <v>500</v>
      </c>
      <c r="P14" s="23">
        <f t="shared" si="15"/>
        <v>500</v>
      </c>
      <c r="Q14" s="23">
        <f t="shared" si="15"/>
        <v>500</v>
      </c>
      <c r="R14" s="23">
        <f t="shared" si="15"/>
        <v>500</v>
      </c>
      <c r="S14" s="23">
        <f>$D$14/12</f>
        <v>2350</v>
      </c>
      <c r="T14" s="23">
        <f aca="true" t="shared" si="16" ref="T14:AE14">$D$14/12</f>
        <v>2350</v>
      </c>
      <c r="U14" s="23">
        <f t="shared" si="16"/>
        <v>2350</v>
      </c>
      <c r="V14" s="23">
        <f t="shared" si="16"/>
        <v>2350</v>
      </c>
      <c r="W14" s="23">
        <f t="shared" si="16"/>
        <v>2350</v>
      </c>
      <c r="X14" s="23">
        <f t="shared" si="16"/>
        <v>2350</v>
      </c>
      <c r="Y14" s="23">
        <f t="shared" si="16"/>
        <v>2350</v>
      </c>
      <c r="Z14" s="23">
        <f t="shared" si="16"/>
        <v>2350</v>
      </c>
      <c r="AA14" s="23">
        <f t="shared" si="16"/>
        <v>2350</v>
      </c>
      <c r="AB14" s="23">
        <f t="shared" si="16"/>
        <v>2350</v>
      </c>
      <c r="AC14" s="23">
        <f t="shared" si="16"/>
        <v>2350</v>
      </c>
      <c r="AD14" s="23">
        <f t="shared" si="16"/>
        <v>2350</v>
      </c>
      <c r="AE14" s="23">
        <f t="shared" si="16"/>
        <v>2350</v>
      </c>
      <c r="AF14" s="23">
        <f>$E$14/12</f>
        <v>8750</v>
      </c>
      <c r="AG14" s="23">
        <f aca="true" t="shared" si="17" ref="AG14:AQ14">$E$14/12</f>
        <v>8750</v>
      </c>
      <c r="AH14" s="23">
        <f t="shared" si="17"/>
        <v>8750</v>
      </c>
      <c r="AI14" s="23">
        <f t="shared" si="17"/>
        <v>8750</v>
      </c>
      <c r="AJ14" s="23">
        <f t="shared" si="17"/>
        <v>8750</v>
      </c>
      <c r="AK14" s="23">
        <f t="shared" si="17"/>
        <v>8750</v>
      </c>
      <c r="AL14" s="23">
        <f t="shared" si="17"/>
        <v>8750</v>
      </c>
      <c r="AM14" s="23">
        <f t="shared" si="17"/>
        <v>8750</v>
      </c>
      <c r="AN14" s="23">
        <f t="shared" si="17"/>
        <v>8750</v>
      </c>
      <c r="AO14" s="23">
        <f t="shared" si="17"/>
        <v>8750</v>
      </c>
      <c r="AP14" s="23">
        <f t="shared" si="17"/>
        <v>8750</v>
      </c>
      <c r="AQ14" s="112">
        <f t="shared" si="17"/>
        <v>8750</v>
      </c>
      <c r="AR14" s="157"/>
      <c r="AS14" s="157"/>
    </row>
    <row r="15" spans="1:45" ht="12.7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2.75">
      <c r="A16" s="32" t="s">
        <v>393</v>
      </c>
      <c r="B16" s="26"/>
      <c r="C16" s="23">
        <f>C203</f>
        <v>0</v>
      </c>
      <c r="D16" s="23">
        <f>D203</f>
        <v>171080</v>
      </c>
      <c r="E16" s="23">
        <f>E203</f>
        <v>380800</v>
      </c>
      <c r="F16" s="108" t="s">
        <v>453</v>
      </c>
      <c r="H16" s="111">
        <f>C16/12</f>
        <v>0</v>
      </c>
      <c r="I16" s="23">
        <f aca="true" t="shared" si="18" ref="I16:S16">$C$16/12</f>
        <v>0</v>
      </c>
      <c r="J16" s="23">
        <f t="shared" si="18"/>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 aca="true" t="shared" si="19" ref="T16:AE16">$D$16/12</f>
        <v>14256.666666666666</v>
      </c>
      <c r="U16" s="23">
        <f t="shared" si="19"/>
        <v>14256.666666666666</v>
      </c>
      <c r="V16" s="23">
        <f t="shared" si="19"/>
        <v>14256.666666666666</v>
      </c>
      <c r="W16" s="23">
        <f t="shared" si="19"/>
        <v>14256.666666666666</v>
      </c>
      <c r="X16" s="23">
        <f t="shared" si="19"/>
        <v>14256.666666666666</v>
      </c>
      <c r="Y16" s="23">
        <f t="shared" si="19"/>
        <v>14256.666666666666</v>
      </c>
      <c r="Z16" s="23">
        <f t="shared" si="19"/>
        <v>14256.666666666666</v>
      </c>
      <c r="AA16" s="23">
        <f t="shared" si="19"/>
        <v>14256.666666666666</v>
      </c>
      <c r="AB16" s="23">
        <f t="shared" si="19"/>
        <v>14256.666666666666</v>
      </c>
      <c r="AC16" s="23">
        <f t="shared" si="19"/>
        <v>14256.666666666666</v>
      </c>
      <c r="AD16" s="23">
        <f t="shared" si="19"/>
        <v>14256.666666666666</v>
      </c>
      <c r="AE16" s="23">
        <f t="shared" si="19"/>
        <v>14256.666666666666</v>
      </c>
      <c r="AF16" s="23">
        <f aca="true" t="shared" si="20" ref="AF16:AQ16">$E$16/12</f>
        <v>31733.333333333332</v>
      </c>
      <c r="AG16" s="23">
        <f t="shared" si="20"/>
        <v>31733.333333333332</v>
      </c>
      <c r="AH16" s="23">
        <f t="shared" si="20"/>
        <v>31733.333333333332</v>
      </c>
      <c r="AI16" s="23">
        <f t="shared" si="20"/>
        <v>31733.333333333332</v>
      </c>
      <c r="AJ16" s="23">
        <f t="shared" si="20"/>
        <v>31733.333333333332</v>
      </c>
      <c r="AK16" s="23">
        <f t="shared" si="20"/>
        <v>31733.333333333332</v>
      </c>
      <c r="AL16" s="23">
        <f t="shared" si="20"/>
        <v>31733.333333333332</v>
      </c>
      <c r="AM16" s="23">
        <f t="shared" si="20"/>
        <v>31733.333333333332</v>
      </c>
      <c r="AN16" s="23">
        <f t="shared" si="20"/>
        <v>31733.333333333332</v>
      </c>
      <c r="AO16" s="23">
        <f t="shared" si="20"/>
        <v>31733.333333333332</v>
      </c>
      <c r="AP16" s="23">
        <f t="shared" si="20"/>
        <v>31733.333333333332</v>
      </c>
      <c r="AQ16" s="112">
        <f t="shared" si="20"/>
        <v>31733.333333333332</v>
      </c>
    </row>
    <row r="17" spans="1:43" ht="12.75">
      <c r="A17" s="32"/>
      <c r="B17" s="156"/>
      <c r="C17" s="26"/>
      <c r="D17" s="26"/>
      <c r="E17" s="26"/>
      <c r="F17" s="108"/>
      <c r="H17" s="32"/>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108"/>
    </row>
    <row r="18" spans="1:45" ht="12.75">
      <c r="A18" s="32" t="s">
        <v>394</v>
      </c>
      <c r="B18" s="26"/>
      <c r="C18" s="23">
        <f>C225</f>
        <v>0</v>
      </c>
      <c r="D18" s="23">
        <f>D225</f>
        <v>33833.333333333336</v>
      </c>
      <c r="E18" s="23">
        <f>E225</f>
        <v>35525</v>
      </c>
      <c r="F18" s="108" t="s">
        <v>453</v>
      </c>
      <c r="H18" s="111">
        <f>C18/12</f>
        <v>0</v>
      </c>
      <c r="I18" s="23">
        <f aca="true" t="shared" si="21" ref="I18:S18">$C$18/12</f>
        <v>0</v>
      </c>
      <c r="J18" s="23">
        <f t="shared" si="21"/>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 aca="true" t="shared" si="22" ref="T18:AE18">$D$18/12</f>
        <v>2819.444444444445</v>
      </c>
      <c r="U18" s="23">
        <f t="shared" si="22"/>
        <v>2819.444444444445</v>
      </c>
      <c r="V18" s="23">
        <f t="shared" si="22"/>
        <v>2819.444444444445</v>
      </c>
      <c r="W18" s="23">
        <f t="shared" si="22"/>
        <v>2819.444444444445</v>
      </c>
      <c r="X18" s="23">
        <f t="shared" si="22"/>
        <v>2819.444444444445</v>
      </c>
      <c r="Y18" s="23">
        <f t="shared" si="22"/>
        <v>2819.444444444445</v>
      </c>
      <c r="Z18" s="23">
        <f t="shared" si="22"/>
        <v>2819.444444444445</v>
      </c>
      <c r="AA18" s="23">
        <f t="shared" si="22"/>
        <v>2819.444444444445</v>
      </c>
      <c r="AB18" s="23">
        <f t="shared" si="22"/>
        <v>2819.444444444445</v>
      </c>
      <c r="AC18" s="23">
        <f t="shared" si="22"/>
        <v>2819.444444444445</v>
      </c>
      <c r="AD18" s="23">
        <f t="shared" si="22"/>
        <v>2819.444444444445</v>
      </c>
      <c r="AE18" s="23">
        <f t="shared" si="22"/>
        <v>2819.444444444445</v>
      </c>
      <c r="AF18" s="23">
        <f aca="true" t="shared" si="23" ref="AF18:AQ18">$E$18/12</f>
        <v>2960.4166666666665</v>
      </c>
      <c r="AG18" s="23">
        <f t="shared" si="23"/>
        <v>2960.4166666666665</v>
      </c>
      <c r="AH18" s="23">
        <f t="shared" si="23"/>
        <v>2960.4166666666665</v>
      </c>
      <c r="AI18" s="23">
        <f t="shared" si="23"/>
        <v>2960.4166666666665</v>
      </c>
      <c r="AJ18" s="23">
        <f t="shared" si="23"/>
        <v>2960.4166666666665</v>
      </c>
      <c r="AK18" s="23">
        <f t="shared" si="23"/>
        <v>2960.4166666666665</v>
      </c>
      <c r="AL18" s="23">
        <f t="shared" si="23"/>
        <v>2960.4166666666665</v>
      </c>
      <c r="AM18" s="23">
        <f t="shared" si="23"/>
        <v>2960.4166666666665</v>
      </c>
      <c r="AN18" s="23">
        <f t="shared" si="23"/>
        <v>2960.4166666666665</v>
      </c>
      <c r="AO18" s="23">
        <f t="shared" si="23"/>
        <v>2960.4166666666665</v>
      </c>
      <c r="AP18" s="23">
        <f t="shared" si="23"/>
        <v>2960.4166666666665</v>
      </c>
      <c r="AQ18" s="112">
        <f t="shared" si="23"/>
        <v>2960.4166666666665</v>
      </c>
      <c r="AR18" s="157"/>
      <c r="AS18" s="157"/>
    </row>
    <row r="19" spans="1:45" ht="12.7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5" ht="12.75">
      <c r="A20" s="32" t="s">
        <v>509</v>
      </c>
      <c r="B20" s="26"/>
      <c r="C20" s="23">
        <f>C274</f>
        <v>0</v>
      </c>
      <c r="D20" s="23">
        <f>D274</f>
        <v>843531</v>
      </c>
      <c r="E20" s="23">
        <f>E274</f>
        <v>3560479.2375</v>
      </c>
      <c r="F20" s="108" t="s">
        <v>453</v>
      </c>
      <c r="H20" s="111">
        <f>C20/12</f>
        <v>0</v>
      </c>
      <c r="I20" s="23">
        <f>$C$20/12</f>
        <v>0</v>
      </c>
      <c r="J20" s="23">
        <f aca="true" t="shared" si="24" ref="J20:S20">$C$20/12</f>
        <v>0</v>
      </c>
      <c r="K20" s="23">
        <f t="shared" si="24"/>
        <v>0</v>
      </c>
      <c r="L20" s="23">
        <f t="shared" si="24"/>
        <v>0</v>
      </c>
      <c r="M20" s="23">
        <f t="shared" si="24"/>
        <v>0</v>
      </c>
      <c r="N20" s="23">
        <f t="shared" si="24"/>
        <v>0</v>
      </c>
      <c r="O20" s="23">
        <f t="shared" si="24"/>
        <v>0</v>
      </c>
      <c r="P20" s="23">
        <f t="shared" si="24"/>
        <v>0</v>
      </c>
      <c r="Q20" s="23">
        <f t="shared" si="24"/>
        <v>0</v>
      </c>
      <c r="R20" s="23">
        <f t="shared" si="24"/>
        <v>0</v>
      </c>
      <c r="S20" s="23">
        <f t="shared" si="24"/>
        <v>0</v>
      </c>
      <c r="T20" s="23">
        <f>$D$20/12</f>
        <v>70294.25</v>
      </c>
      <c r="U20" s="23">
        <f aca="true" t="shared" si="25" ref="U20:AE20">$D$20/12</f>
        <v>70294.25</v>
      </c>
      <c r="V20" s="23">
        <f t="shared" si="25"/>
        <v>70294.25</v>
      </c>
      <c r="W20" s="23">
        <f t="shared" si="25"/>
        <v>70294.25</v>
      </c>
      <c r="X20" s="23">
        <f t="shared" si="25"/>
        <v>70294.25</v>
      </c>
      <c r="Y20" s="23">
        <f t="shared" si="25"/>
        <v>70294.25</v>
      </c>
      <c r="Z20" s="23">
        <f t="shared" si="25"/>
        <v>70294.25</v>
      </c>
      <c r="AA20" s="23">
        <f t="shared" si="25"/>
        <v>70294.25</v>
      </c>
      <c r="AB20" s="23">
        <f t="shared" si="25"/>
        <v>70294.25</v>
      </c>
      <c r="AC20" s="23">
        <f t="shared" si="25"/>
        <v>70294.25</v>
      </c>
      <c r="AD20" s="23">
        <f t="shared" si="25"/>
        <v>70294.25</v>
      </c>
      <c r="AE20" s="23">
        <f t="shared" si="25"/>
        <v>70294.25</v>
      </c>
      <c r="AF20" s="23">
        <f>$E$20/12</f>
        <v>296706.60312499997</v>
      </c>
      <c r="AG20" s="23">
        <f aca="true" t="shared" si="26" ref="AG20:AQ20">$E$20/12</f>
        <v>296706.60312499997</v>
      </c>
      <c r="AH20" s="23">
        <f t="shared" si="26"/>
        <v>296706.60312499997</v>
      </c>
      <c r="AI20" s="23">
        <f t="shared" si="26"/>
        <v>296706.60312499997</v>
      </c>
      <c r="AJ20" s="23">
        <f t="shared" si="26"/>
        <v>296706.60312499997</v>
      </c>
      <c r="AK20" s="23">
        <f t="shared" si="26"/>
        <v>296706.60312499997</v>
      </c>
      <c r="AL20" s="23">
        <f t="shared" si="26"/>
        <v>296706.60312499997</v>
      </c>
      <c r="AM20" s="23">
        <f t="shared" si="26"/>
        <v>296706.60312499997</v>
      </c>
      <c r="AN20" s="23">
        <f t="shared" si="26"/>
        <v>296706.60312499997</v>
      </c>
      <c r="AO20" s="23">
        <f t="shared" si="26"/>
        <v>296706.60312499997</v>
      </c>
      <c r="AP20" s="23">
        <f t="shared" si="26"/>
        <v>296706.60312499997</v>
      </c>
      <c r="AQ20" s="112">
        <f t="shared" si="26"/>
        <v>296706.60312499997</v>
      </c>
      <c r="AR20" s="157"/>
      <c r="AS20" s="157"/>
    </row>
    <row r="21" spans="1:43" ht="12.75">
      <c r="A21" s="32"/>
      <c r="B21" s="156"/>
      <c r="C21" s="26"/>
      <c r="D21" s="26"/>
      <c r="E21" s="26"/>
      <c r="F21" s="108"/>
      <c r="H21" s="3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108"/>
    </row>
    <row r="22" spans="1:43" ht="12.75">
      <c r="A22" s="32" t="s">
        <v>510</v>
      </c>
      <c r="B22" s="156"/>
      <c r="C22" s="153">
        <f>C308</f>
        <v>0</v>
      </c>
      <c r="D22" s="153">
        <f>D308</f>
        <v>49750</v>
      </c>
      <c r="E22" s="153">
        <f>E308</f>
        <v>74625</v>
      </c>
      <c r="F22" s="108" t="s">
        <v>453</v>
      </c>
      <c r="H22" s="158">
        <f>C22/12</f>
        <v>0</v>
      </c>
      <c r="I22" s="153">
        <f>$C$22/12</f>
        <v>0</v>
      </c>
      <c r="J22" s="153">
        <f aca="true" t="shared" si="27" ref="J22:S22">$C$22/12</f>
        <v>0</v>
      </c>
      <c r="K22" s="153">
        <f t="shared" si="27"/>
        <v>0</v>
      </c>
      <c r="L22" s="153">
        <f t="shared" si="27"/>
        <v>0</v>
      </c>
      <c r="M22" s="153">
        <f t="shared" si="27"/>
        <v>0</v>
      </c>
      <c r="N22" s="153">
        <f t="shared" si="27"/>
        <v>0</v>
      </c>
      <c r="O22" s="153">
        <f t="shared" si="27"/>
        <v>0</v>
      </c>
      <c r="P22" s="153">
        <f t="shared" si="27"/>
        <v>0</v>
      </c>
      <c r="Q22" s="153">
        <f t="shared" si="27"/>
        <v>0</v>
      </c>
      <c r="R22" s="153">
        <f t="shared" si="27"/>
        <v>0</v>
      </c>
      <c r="S22" s="153">
        <f t="shared" si="27"/>
        <v>0</v>
      </c>
      <c r="T22" s="153">
        <f>$D$22/12</f>
        <v>4145.833333333333</v>
      </c>
      <c r="U22" s="153">
        <f aca="true" t="shared" si="28" ref="U22:AE22">$D$22/12</f>
        <v>4145.833333333333</v>
      </c>
      <c r="V22" s="153">
        <f t="shared" si="28"/>
        <v>4145.833333333333</v>
      </c>
      <c r="W22" s="153">
        <f t="shared" si="28"/>
        <v>4145.833333333333</v>
      </c>
      <c r="X22" s="153">
        <f t="shared" si="28"/>
        <v>4145.833333333333</v>
      </c>
      <c r="Y22" s="153">
        <f t="shared" si="28"/>
        <v>4145.833333333333</v>
      </c>
      <c r="Z22" s="153">
        <f t="shared" si="28"/>
        <v>4145.833333333333</v>
      </c>
      <c r="AA22" s="153">
        <f t="shared" si="28"/>
        <v>4145.833333333333</v>
      </c>
      <c r="AB22" s="153">
        <f t="shared" si="28"/>
        <v>4145.833333333333</v>
      </c>
      <c r="AC22" s="153">
        <f t="shared" si="28"/>
        <v>4145.833333333333</v>
      </c>
      <c r="AD22" s="153">
        <f t="shared" si="28"/>
        <v>4145.833333333333</v>
      </c>
      <c r="AE22" s="153">
        <f t="shared" si="28"/>
        <v>4145.833333333333</v>
      </c>
      <c r="AF22" s="153">
        <f>$E$22/12</f>
        <v>6218.75</v>
      </c>
      <c r="AG22" s="153">
        <f aca="true" t="shared" si="29" ref="AG22:AQ22">$E$22/12</f>
        <v>6218.75</v>
      </c>
      <c r="AH22" s="153">
        <f t="shared" si="29"/>
        <v>6218.75</v>
      </c>
      <c r="AI22" s="153">
        <f t="shared" si="29"/>
        <v>6218.75</v>
      </c>
      <c r="AJ22" s="153">
        <f t="shared" si="29"/>
        <v>6218.75</v>
      </c>
      <c r="AK22" s="153">
        <f t="shared" si="29"/>
        <v>6218.75</v>
      </c>
      <c r="AL22" s="153">
        <f t="shared" si="29"/>
        <v>6218.75</v>
      </c>
      <c r="AM22" s="153">
        <f t="shared" si="29"/>
        <v>6218.75</v>
      </c>
      <c r="AN22" s="153">
        <f t="shared" si="29"/>
        <v>6218.75</v>
      </c>
      <c r="AO22" s="153">
        <f t="shared" si="29"/>
        <v>6218.75</v>
      </c>
      <c r="AP22" s="153">
        <f t="shared" si="29"/>
        <v>6218.75</v>
      </c>
      <c r="AQ22" s="112">
        <f t="shared" si="29"/>
        <v>6218.75</v>
      </c>
    </row>
    <row r="23" spans="1:43" ht="12.75">
      <c r="A23" s="32"/>
      <c r="B23" s="156"/>
      <c r="C23" s="26"/>
      <c r="D23" s="26"/>
      <c r="E23" s="26"/>
      <c r="F23" s="108"/>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108"/>
    </row>
    <row r="24" spans="1:43" ht="12.75">
      <c r="A24" s="32" t="s">
        <v>511</v>
      </c>
      <c r="B24" s="26"/>
      <c r="C24" s="23">
        <v>0</v>
      </c>
      <c r="D24" s="23">
        <v>0</v>
      </c>
      <c r="E24" s="23">
        <v>0</v>
      </c>
      <c r="F24" s="108" t="s">
        <v>454</v>
      </c>
      <c r="H24" s="111">
        <f>C24/12</f>
        <v>0</v>
      </c>
      <c r="I24" s="23">
        <f>$C$24/12</f>
        <v>0</v>
      </c>
      <c r="J24" s="23">
        <f aca="true" t="shared" si="30" ref="J24:S24">$C$24/12</f>
        <v>0</v>
      </c>
      <c r="K24" s="23">
        <f t="shared" si="30"/>
        <v>0</v>
      </c>
      <c r="L24" s="23">
        <f t="shared" si="30"/>
        <v>0</v>
      </c>
      <c r="M24" s="23">
        <f t="shared" si="30"/>
        <v>0</v>
      </c>
      <c r="N24" s="23">
        <f t="shared" si="30"/>
        <v>0</v>
      </c>
      <c r="O24" s="23">
        <f t="shared" si="30"/>
        <v>0</v>
      </c>
      <c r="P24" s="23">
        <f t="shared" si="30"/>
        <v>0</v>
      </c>
      <c r="Q24" s="23">
        <f t="shared" si="30"/>
        <v>0</v>
      </c>
      <c r="R24" s="23">
        <f t="shared" si="30"/>
        <v>0</v>
      </c>
      <c r="S24" s="23">
        <f t="shared" si="30"/>
        <v>0</v>
      </c>
      <c r="T24" s="23">
        <f>$D$24/12</f>
        <v>0</v>
      </c>
      <c r="U24" s="23">
        <f aca="true" t="shared" si="31" ref="U24:AE24">$D$24/12</f>
        <v>0</v>
      </c>
      <c r="V24" s="23">
        <f t="shared" si="31"/>
        <v>0</v>
      </c>
      <c r="W24" s="23">
        <f t="shared" si="31"/>
        <v>0</v>
      </c>
      <c r="X24" s="23">
        <f t="shared" si="31"/>
        <v>0</v>
      </c>
      <c r="Y24" s="23">
        <f t="shared" si="31"/>
        <v>0</v>
      </c>
      <c r="Z24" s="23">
        <f t="shared" si="31"/>
        <v>0</v>
      </c>
      <c r="AA24" s="23">
        <f t="shared" si="31"/>
        <v>0</v>
      </c>
      <c r="AB24" s="23">
        <f t="shared" si="31"/>
        <v>0</v>
      </c>
      <c r="AC24" s="23">
        <f t="shared" si="31"/>
        <v>0</v>
      </c>
      <c r="AD24" s="23">
        <f t="shared" si="31"/>
        <v>0</v>
      </c>
      <c r="AE24" s="23">
        <f t="shared" si="31"/>
        <v>0</v>
      </c>
      <c r="AF24" s="23">
        <f>$E$24/12</f>
        <v>0</v>
      </c>
      <c r="AG24" s="23">
        <f aca="true" t="shared" si="32" ref="AG24:AQ24">$E$24/12</f>
        <v>0</v>
      </c>
      <c r="AH24" s="23">
        <f t="shared" si="32"/>
        <v>0</v>
      </c>
      <c r="AI24" s="23">
        <f t="shared" si="32"/>
        <v>0</v>
      </c>
      <c r="AJ24" s="23">
        <f t="shared" si="32"/>
        <v>0</v>
      </c>
      <c r="AK24" s="23">
        <f t="shared" si="32"/>
        <v>0</v>
      </c>
      <c r="AL24" s="23">
        <f t="shared" si="32"/>
        <v>0</v>
      </c>
      <c r="AM24" s="23">
        <f t="shared" si="32"/>
        <v>0</v>
      </c>
      <c r="AN24" s="23">
        <f t="shared" si="32"/>
        <v>0</v>
      </c>
      <c r="AO24" s="23">
        <f t="shared" si="32"/>
        <v>0</v>
      </c>
      <c r="AP24" s="23">
        <f t="shared" si="32"/>
        <v>0</v>
      </c>
      <c r="AQ24" s="112">
        <f t="shared" si="32"/>
        <v>0</v>
      </c>
    </row>
    <row r="25" spans="1:43" ht="12.75">
      <c r="A25" s="32"/>
      <c r="B25" s="26"/>
      <c r="C25" s="37"/>
      <c r="D25" s="47"/>
      <c r="E25" s="47"/>
      <c r="F25" s="108"/>
      <c r="H25" s="154"/>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155"/>
    </row>
    <row r="26" spans="1:43" s="138" customFormat="1" ht="13.5" thickBot="1">
      <c r="A26" s="159"/>
      <c r="B26" s="160"/>
      <c r="F26" s="161"/>
      <c r="H26" s="159"/>
      <c r="AQ26" s="161"/>
    </row>
    <row r="27" spans="1:43" ht="12.75">
      <c r="A27" s="32"/>
      <c r="B27" s="26"/>
      <c r="C27" s="26"/>
      <c r="D27" s="26"/>
      <c r="E27" s="26"/>
      <c r="F27" s="108"/>
      <c r="H27" s="111"/>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112"/>
    </row>
    <row r="28" spans="1:43" ht="12.75">
      <c r="A28" s="162" t="s">
        <v>455</v>
      </c>
      <c r="B28" s="26"/>
      <c r="C28" s="23">
        <f>SUM(C4:C25)</f>
        <v>597760</v>
      </c>
      <c r="D28" s="23">
        <f>SUM(D4:D25)</f>
        <v>1969696.7333333334</v>
      </c>
      <c r="E28" s="23">
        <f>SUM(E4:E25)</f>
        <v>5105557.2375</v>
      </c>
      <c r="F28" s="108"/>
      <c r="H28" s="111">
        <f aca="true" t="shared" si="33" ref="H28:AQ28">SUM(H4:H25)</f>
        <v>0</v>
      </c>
      <c r="I28" s="23">
        <f t="shared" si="33"/>
        <v>0</v>
      </c>
      <c r="J28" s="23">
        <f t="shared" si="33"/>
        <v>0</v>
      </c>
      <c r="K28" s="23">
        <f t="shared" si="33"/>
        <v>63063.33333333333</v>
      </c>
      <c r="L28" s="23">
        <f t="shared" si="33"/>
        <v>63063.33333333333</v>
      </c>
      <c r="M28" s="23">
        <f t="shared" si="33"/>
        <v>63063.33333333333</v>
      </c>
      <c r="N28" s="23">
        <f t="shared" si="33"/>
        <v>63063.33333333333</v>
      </c>
      <c r="O28" s="23">
        <f t="shared" si="33"/>
        <v>63063.33333333333</v>
      </c>
      <c r="P28" s="23">
        <f t="shared" si="33"/>
        <v>63063.33333333333</v>
      </c>
      <c r="Q28" s="23">
        <f t="shared" si="33"/>
        <v>63063.33333333333</v>
      </c>
      <c r="R28" s="23">
        <f t="shared" si="33"/>
        <v>63063.33333333333</v>
      </c>
      <c r="S28" s="23">
        <f t="shared" si="33"/>
        <v>64913.33333333333</v>
      </c>
      <c r="T28" s="23">
        <f t="shared" si="33"/>
        <v>164141.39444444445</v>
      </c>
      <c r="U28" s="23">
        <f t="shared" si="33"/>
        <v>164141.39444444445</v>
      </c>
      <c r="V28" s="23">
        <f t="shared" si="33"/>
        <v>164141.39444444445</v>
      </c>
      <c r="W28" s="23">
        <f t="shared" si="33"/>
        <v>164141.39444444445</v>
      </c>
      <c r="X28" s="23">
        <f t="shared" si="33"/>
        <v>164141.39444444445</v>
      </c>
      <c r="Y28" s="23">
        <f t="shared" si="33"/>
        <v>164141.39444444445</v>
      </c>
      <c r="Z28" s="23">
        <f t="shared" si="33"/>
        <v>164141.39444444445</v>
      </c>
      <c r="AA28" s="23">
        <f t="shared" si="33"/>
        <v>164141.39444444445</v>
      </c>
      <c r="AB28" s="23">
        <f t="shared" si="33"/>
        <v>164141.39444444445</v>
      </c>
      <c r="AC28" s="23">
        <f t="shared" si="33"/>
        <v>164141.39444444445</v>
      </c>
      <c r="AD28" s="23">
        <f t="shared" si="33"/>
        <v>164141.39444444445</v>
      </c>
      <c r="AE28" s="23">
        <f t="shared" si="33"/>
        <v>164141.39444444445</v>
      </c>
      <c r="AF28" s="23">
        <f t="shared" si="33"/>
        <v>425463.10312499997</v>
      </c>
      <c r="AG28" s="23">
        <f t="shared" si="33"/>
        <v>425463.10312499997</v>
      </c>
      <c r="AH28" s="23">
        <f t="shared" si="33"/>
        <v>425463.10312499997</v>
      </c>
      <c r="AI28" s="23">
        <f t="shared" si="33"/>
        <v>425463.10312499997</v>
      </c>
      <c r="AJ28" s="23">
        <f t="shared" si="33"/>
        <v>425463.10312499997</v>
      </c>
      <c r="AK28" s="23">
        <f t="shared" si="33"/>
        <v>425463.10312499997</v>
      </c>
      <c r="AL28" s="23">
        <f t="shared" si="33"/>
        <v>425463.10312499997</v>
      </c>
      <c r="AM28" s="23">
        <f t="shared" si="33"/>
        <v>425463.10312499997</v>
      </c>
      <c r="AN28" s="23">
        <f t="shared" si="33"/>
        <v>425463.10312499997</v>
      </c>
      <c r="AO28" s="23">
        <f t="shared" si="33"/>
        <v>425463.10312499997</v>
      </c>
      <c r="AP28" s="23">
        <f t="shared" si="33"/>
        <v>425463.10312499997</v>
      </c>
      <c r="AQ28" s="112">
        <f t="shared" si="33"/>
        <v>425463.10312499997</v>
      </c>
    </row>
    <row r="29" spans="1:43" ht="13.5" thickBot="1">
      <c r="A29" s="159"/>
      <c r="B29" s="138"/>
      <c r="C29" s="138"/>
      <c r="D29" s="138"/>
      <c r="E29" s="138"/>
      <c r="F29" s="161"/>
      <c r="H29" s="159"/>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61"/>
    </row>
    <row r="30" ht="12.75"/>
    <row r="31" ht="12.75">
      <c r="A31" s="163"/>
    </row>
    <row r="32" ht="13.5" thickBot="1"/>
    <row r="33" spans="3:4" ht="13.5" thickBot="1">
      <c r="C33" s="128"/>
      <c r="D33" s="25" t="s">
        <v>522</v>
      </c>
    </row>
    <row r="34" ht="13.5" hidden="1"/>
    <row r="35" ht="13.5" hidden="1">
      <c r="A35" s="99" t="s">
        <v>564</v>
      </c>
    </row>
    <row r="36" spans="1:10" ht="13.5" hidden="1">
      <c r="A36" s="99"/>
      <c r="B36" s="25" t="s">
        <v>565</v>
      </c>
      <c r="H36" s="136"/>
      <c r="I36" s="136"/>
      <c r="J36" s="136"/>
    </row>
    <row r="37" spans="1:2" ht="13.5" hidden="1">
      <c r="A37" s="99"/>
      <c r="B37" s="164" t="s">
        <v>566</v>
      </c>
    </row>
    <row r="38" ht="15" hidden="1" thickBot="1"/>
    <row r="39" spans="1:5" ht="13.5" hidden="1">
      <c r="A39" s="70" t="s">
        <v>408</v>
      </c>
      <c r="B39" s="71"/>
      <c r="C39" s="71"/>
      <c r="D39" s="71"/>
      <c r="E39" s="330"/>
    </row>
    <row r="40" spans="1:5" ht="13.5" hidden="1">
      <c r="A40" s="16"/>
      <c r="B40" s="48"/>
      <c r="C40" s="55" t="s">
        <v>196</v>
      </c>
      <c r="D40" s="55" t="s">
        <v>197</v>
      </c>
      <c r="E40" s="130" t="s">
        <v>198</v>
      </c>
    </row>
    <row r="41" spans="1:5" ht="13.5" hidden="1">
      <c r="A41" s="16"/>
      <c r="B41" s="165" t="s">
        <v>400</v>
      </c>
      <c r="C41" s="333">
        <v>0.005</v>
      </c>
      <c r="D41" s="333">
        <v>0.007</v>
      </c>
      <c r="E41" s="334">
        <v>0.009</v>
      </c>
    </row>
    <row r="42" spans="1:5" ht="13.5" hidden="1">
      <c r="A42" s="16"/>
      <c r="B42" s="17" t="s">
        <v>567</v>
      </c>
      <c r="C42" s="11">
        <f>C41*'Revenue - Website'!C22</f>
        <v>4000</v>
      </c>
      <c r="D42" s="11">
        <f>D41*'Revenue - Website'!D22</f>
        <v>13160</v>
      </c>
      <c r="E42" s="166">
        <f>E41*'Revenue - Website'!E22</f>
        <v>25199.999999999996</v>
      </c>
    </row>
    <row r="43" spans="1:5" ht="13.5" hidden="1">
      <c r="A43" s="16"/>
      <c r="B43" s="17"/>
      <c r="C43" s="17"/>
      <c r="D43" s="17"/>
      <c r="E43" s="18"/>
    </row>
    <row r="44" spans="1:5" ht="13.5" hidden="1">
      <c r="A44" s="16"/>
      <c r="B44" s="17" t="s">
        <v>568</v>
      </c>
      <c r="C44" s="331">
        <v>4</v>
      </c>
      <c r="D44" s="331">
        <v>4</v>
      </c>
      <c r="E44" s="332">
        <v>4</v>
      </c>
    </row>
    <row r="45" spans="1:6" ht="13.5" hidden="1">
      <c r="A45" s="16"/>
      <c r="B45" s="17" t="s">
        <v>569</v>
      </c>
      <c r="C45" s="74">
        <v>0.07</v>
      </c>
      <c r="D45" s="74">
        <v>0.07</v>
      </c>
      <c r="E45" s="75">
        <v>0.07</v>
      </c>
      <c r="F45" s="25" t="s">
        <v>570</v>
      </c>
    </row>
    <row r="46" spans="1:6" ht="13.5" hidden="1">
      <c r="A46" s="16"/>
      <c r="B46" s="17" t="s">
        <v>571</v>
      </c>
      <c r="C46" s="68">
        <v>0.25</v>
      </c>
      <c r="D46" s="68">
        <v>0.25</v>
      </c>
      <c r="E46" s="340">
        <v>0.25</v>
      </c>
      <c r="F46" s="167"/>
    </row>
    <row r="47" spans="1:5" ht="13.5" hidden="1">
      <c r="A47" s="16"/>
      <c r="B47" s="17"/>
      <c r="C47" s="12"/>
      <c r="D47" s="12"/>
      <c r="E47" s="168"/>
    </row>
    <row r="48" spans="1:5" ht="15" hidden="1" thickBot="1">
      <c r="A48" s="19"/>
      <c r="B48" s="20"/>
      <c r="C48" s="20"/>
      <c r="D48" s="20"/>
      <c r="E48" s="21"/>
    </row>
    <row r="49" ht="13.5" hidden="1"/>
    <row r="50" spans="3:5" ht="13.5" hidden="1">
      <c r="C50" s="169" t="s">
        <v>196</v>
      </c>
      <c r="D50" s="169" t="s">
        <v>197</v>
      </c>
      <c r="E50" s="169" t="s">
        <v>198</v>
      </c>
    </row>
    <row r="51" ht="13.5" hidden="1"/>
    <row r="52" spans="1:5" ht="13.5" hidden="1">
      <c r="A52" s="25" t="s">
        <v>262</v>
      </c>
      <c r="C52" s="23">
        <f>C42*C44*C45*C46*52</f>
        <v>14560</v>
      </c>
      <c r="D52" s="23">
        <f>D42*D44*D45*D46*52</f>
        <v>47902.4</v>
      </c>
      <c r="E52" s="23">
        <f>E42*E44*E45*E46*52</f>
        <v>91728</v>
      </c>
    </row>
    <row r="53" ht="13.5" hidden="1"/>
    <row r="54" ht="13.5" hidden="1"/>
    <row r="55" ht="13.5" hidden="1"/>
    <row r="56" ht="13.5" hidden="1">
      <c r="A56" s="99" t="s">
        <v>572</v>
      </c>
    </row>
    <row r="57" spans="1:2" ht="13.5" hidden="1">
      <c r="A57" s="99"/>
      <c r="B57" s="25" t="s">
        <v>573</v>
      </c>
    </row>
    <row r="58" spans="1:2" ht="13.5" hidden="1">
      <c r="A58" s="99"/>
      <c r="B58" s="164" t="s">
        <v>574</v>
      </c>
    </row>
    <row r="59" ht="15" hidden="1" thickBot="1"/>
    <row r="60" spans="1:8" ht="13.5" hidden="1">
      <c r="A60" s="70" t="s">
        <v>408</v>
      </c>
      <c r="B60" s="71"/>
      <c r="C60" s="71"/>
      <c r="D60" s="71"/>
      <c r="E60" s="330"/>
      <c r="H60" s="164"/>
    </row>
    <row r="61" spans="1:5" ht="13.5" hidden="1">
      <c r="A61" s="16"/>
      <c r="B61" s="48"/>
      <c r="C61" s="55" t="s">
        <v>196</v>
      </c>
      <c r="D61" s="55" t="s">
        <v>197</v>
      </c>
      <c r="E61" s="130" t="s">
        <v>198</v>
      </c>
    </row>
    <row r="62" spans="1:5" ht="13.5" hidden="1">
      <c r="A62" s="16"/>
      <c r="B62" s="48" t="s">
        <v>575</v>
      </c>
      <c r="C62" s="331">
        <v>3</v>
      </c>
      <c r="D62" s="331">
        <v>4</v>
      </c>
      <c r="E62" s="332">
        <v>4</v>
      </c>
    </row>
    <row r="63" spans="1:8" ht="13.5" hidden="1">
      <c r="A63" s="16"/>
      <c r="B63" s="48" t="s">
        <v>576</v>
      </c>
      <c r="C63" s="86">
        <v>50000</v>
      </c>
      <c r="D63" s="86">
        <v>50000</v>
      </c>
      <c r="E63" s="87">
        <v>50000</v>
      </c>
      <c r="H63" s="164"/>
    </row>
    <row r="64" spans="1:8" ht="13.5" hidden="1">
      <c r="A64" s="16"/>
      <c r="B64" s="48"/>
      <c r="C64" s="55"/>
      <c r="D64" s="55"/>
      <c r="E64" s="130"/>
      <c r="H64" s="164"/>
    </row>
    <row r="65" spans="1:8" ht="13.5" hidden="1">
      <c r="A65" s="16"/>
      <c r="B65" s="17" t="s">
        <v>577</v>
      </c>
      <c r="C65" s="86">
        <v>52</v>
      </c>
      <c r="D65" s="86">
        <v>52</v>
      </c>
      <c r="E65" s="87">
        <v>52</v>
      </c>
      <c r="H65" s="164"/>
    </row>
    <row r="66" spans="1:8" ht="13.5" hidden="1">
      <c r="A66" s="16"/>
      <c r="B66" s="17" t="s">
        <v>578</v>
      </c>
      <c r="C66" s="68">
        <v>0.4</v>
      </c>
      <c r="D66" s="68">
        <v>0.4</v>
      </c>
      <c r="E66" s="340">
        <v>0.4</v>
      </c>
      <c r="F66" s="170"/>
      <c r="H66" s="164"/>
    </row>
    <row r="67" spans="1:6" ht="13.5" hidden="1">
      <c r="A67" s="16"/>
      <c r="B67" s="17" t="s">
        <v>579</v>
      </c>
      <c r="C67" s="84">
        <v>5000</v>
      </c>
      <c r="D67" s="84">
        <v>5000</v>
      </c>
      <c r="E67" s="85">
        <v>5000</v>
      </c>
      <c r="F67" s="167" t="s">
        <v>480</v>
      </c>
    </row>
    <row r="68" spans="1:5" ht="13.5" hidden="1">
      <c r="A68" s="16"/>
      <c r="B68" s="17"/>
      <c r="C68" s="17"/>
      <c r="D68" s="17"/>
      <c r="E68" s="18"/>
    </row>
    <row r="69" spans="1:5" ht="15" hidden="1" thickBot="1">
      <c r="A69" s="19"/>
      <c r="B69" s="20"/>
      <c r="C69" s="20"/>
      <c r="D69" s="20"/>
      <c r="E69" s="21"/>
    </row>
    <row r="70" ht="13.5" hidden="1"/>
    <row r="71" spans="3:5" ht="13.5" hidden="1">
      <c r="C71" s="169" t="s">
        <v>196</v>
      </c>
      <c r="D71" s="169" t="s">
        <v>197</v>
      </c>
      <c r="E71" s="169" t="s">
        <v>198</v>
      </c>
    </row>
    <row r="72" ht="13.5" hidden="1">
      <c r="A72" s="99"/>
    </row>
    <row r="73" spans="1:43" ht="13.5" hidden="1">
      <c r="A73" s="25" t="s">
        <v>580</v>
      </c>
      <c r="C73" s="23">
        <f>C62*C65*C66*C67</f>
        <v>312000</v>
      </c>
      <c r="D73" s="23">
        <f>D62*D65*D66*D67</f>
        <v>416000</v>
      </c>
      <c r="E73" s="23">
        <f>E62*E65*E66*E67</f>
        <v>416000</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row>
    <row r="74" spans="1:3" ht="13.5" hidden="1">
      <c r="A74" s="99"/>
      <c r="C74" s="136"/>
    </row>
    <row r="75" ht="13.5" hidden="1"/>
    <row r="76" ht="13.5" hidden="1"/>
    <row r="77" ht="13.5" hidden="1">
      <c r="A77" s="99" t="s">
        <v>581</v>
      </c>
    </row>
    <row r="78" spans="1:2" ht="13.5" hidden="1">
      <c r="A78" s="171"/>
      <c r="B78" s="25" t="s">
        <v>582</v>
      </c>
    </row>
    <row r="79" spans="1:2" ht="13.5" hidden="1">
      <c r="A79" s="171"/>
      <c r="B79" s="164" t="s">
        <v>583</v>
      </c>
    </row>
    <row r="80" spans="1:2" ht="13.5" hidden="1">
      <c r="A80" s="171"/>
      <c r="B80" s="164" t="s">
        <v>584</v>
      </c>
    </row>
    <row r="81" ht="15" hidden="1" thickBot="1">
      <c r="A81" s="171"/>
    </row>
    <row r="82" spans="1:6" ht="13.5" hidden="1">
      <c r="A82" s="70" t="s">
        <v>408</v>
      </c>
      <c r="B82" s="71"/>
      <c r="C82" s="71"/>
      <c r="D82" s="71"/>
      <c r="E82" s="330"/>
      <c r="F82" s="167"/>
    </row>
    <row r="83" spans="1:5" ht="13.5" hidden="1">
      <c r="A83" s="16"/>
      <c r="B83" s="48"/>
      <c r="C83" s="55" t="s">
        <v>196</v>
      </c>
      <c r="D83" s="55" t="s">
        <v>197</v>
      </c>
      <c r="E83" s="130" t="s">
        <v>198</v>
      </c>
    </row>
    <row r="84" spans="1:5" ht="13.5" hidden="1">
      <c r="A84" s="16"/>
      <c r="B84" s="48" t="s">
        <v>585</v>
      </c>
      <c r="C84" s="11">
        <f>'Revenue - Website'!C16</f>
        <v>5000000</v>
      </c>
      <c r="D84" s="11">
        <f>'Revenue - Website'!D16</f>
        <v>5000000</v>
      </c>
      <c r="E84" s="166">
        <f>'Revenue - Website'!E16</f>
        <v>5000000</v>
      </c>
    </row>
    <row r="85" spans="1:6" ht="13.5" hidden="1">
      <c r="A85" s="16"/>
      <c r="B85" s="26" t="s">
        <v>368</v>
      </c>
      <c r="C85" s="76">
        <v>0.01</v>
      </c>
      <c r="D85" s="76">
        <v>0.01</v>
      </c>
      <c r="E85" s="69">
        <v>0.01</v>
      </c>
      <c r="F85" s="172"/>
    </row>
    <row r="86" spans="1:6" ht="13.5" hidden="1">
      <c r="A86" s="16"/>
      <c r="B86" s="26" t="s">
        <v>369</v>
      </c>
      <c r="C86" s="173">
        <f>C84*C85</f>
        <v>50000</v>
      </c>
      <c r="D86" s="173">
        <f>D84*D85</f>
        <v>50000</v>
      </c>
      <c r="E86" s="174">
        <f>E84*E85</f>
        <v>50000</v>
      </c>
      <c r="F86" s="172"/>
    </row>
    <row r="87" spans="1:6" ht="13.5" hidden="1">
      <c r="A87" s="16"/>
      <c r="B87" s="48" t="s">
        <v>370</v>
      </c>
      <c r="C87" s="68">
        <v>0.06</v>
      </c>
      <c r="D87" s="68">
        <v>0.06</v>
      </c>
      <c r="E87" s="340">
        <v>0.06</v>
      </c>
      <c r="F87" s="172"/>
    </row>
    <row r="88" spans="1:6" ht="13.5" hidden="1">
      <c r="A88" s="16"/>
      <c r="B88" s="48" t="s">
        <v>371</v>
      </c>
      <c r="C88" s="173">
        <f>C86*C87</f>
        <v>3000</v>
      </c>
      <c r="D88" s="173">
        <f>D86*D87</f>
        <v>3000</v>
      </c>
      <c r="E88" s="174">
        <f>E86*E87</f>
        <v>3000</v>
      </c>
      <c r="F88" s="172"/>
    </row>
    <row r="89" spans="1:6" ht="13.5" hidden="1">
      <c r="A89" s="16"/>
      <c r="B89" s="26"/>
      <c r="C89" s="23"/>
      <c r="D89" s="23"/>
      <c r="E89" s="112"/>
      <c r="F89" s="172"/>
    </row>
    <row r="90" spans="1:5" ht="13.5" hidden="1">
      <c r="A90" s="16"/>
      <c r="B90" s="165" t="s">
        <v>372</v>
      </c>
      <c r="C90" s="86">
        <v>3</v>
      </c>
      <c r="D90" s="86">
        <v>5</v>
      </c>
      <c r="E90" s="87">
        <v>6</v>
      </c>
    </row>
    <row r="91" spans="1:5" ht="13.5" hidden="1">
      <c r="A91" s="16"/>
      <c r="B91" s="165" t="s">
        <v>373</v>
      </c>
      <c r="C91" s="86">
        <v>50</v>
      </c>
      <c r="D91" s="86">
        <v>50</v>
      </c>
      <c r="E91" s="87">
        <v>50</v>
      </c>
    </row>
    <row r="92" spans="1:5" ht="13.5" hidden="1">
      <c r="A92" s="16"/>
      <c r="B92" s="26"/>
      <c r="C92" s="23"/>
      <c r="D92" s="23"/>
      <c r="E92" s="112"/>
    </row>
    <row r="93" spans="1:5" ht="13.5" hidden="1">
      <c r="A93" s="16"/>
      <c r="B93" s="48" t="s">
        <v>374</v>
      </c>
      <c r="C93" s="84">
        <v>10</v>
      </c>
      <c r="D93" s="84">
        <v>10</v>
      </c>
      <c r="E93" s="85">
        <v>10</v>
      </c>
    </row>
    <row r="94" spans="1:5" ht="13.5" hidden="1">
      <c r="A94" s="16"/>
      <c r="B94" s="26"/>
      <c r="C94" s="11"/>
      <c r="D94" s="11"/>
      <c r="E94" s="166"/>
    </row>
    <row r="95" spans="1:5" ht="13.5" hidden="1">
      <c r="A95" s="16"/>
      <c r="B95" s="48" t="s">
        <v>375</v>
      </c>
      <c r="C95" s="84">
        <v>500</v>
      </c>
      <c r="D95" s="84">
        <v>500</v>
      </c>
      <c r="E95" s="85">
        <v>500</v>
      </c>
    </row>
    <row r="96" spans="1:5" ht="13.5" hidden="1">
      <c r="A96" s="16"/>
      <c r="B96" s="48"/>
      <c r="C96" s="17"/>
      <c r="D96" s="17"/>
      <c r="E96" s="18"/>
    </row>
    <row r="97" spans="1:5" ht="15" hidden="1" thickBot="1">
      <c r="A97" s="19"/>
      <c r="B97" s="20"/>
      <c r="C97" s="20"/>
      <c r="D97" s="20"/>
      <c r="E97" s="21"/>
    </row>
    <row r="98" ht="13.5" hidden="1">
      <c r="A98" s="171"/>
    </row>
    <row r="99" spans="3:5" ht="13.5" hidden="1">
      <c r="C99" s="169" t="s">
        <v>196</v>
      </c>
      <c r="D99" s="169" t="s">
        <v>197</v>
      </c>
      <c r="E99" s="169" t="s">
        <v>198</v>
      </c>
    </row>
    <row r="100" ht="13.5" hidden="1"/>
    <row r="101" spans="1:43" ht="13.5" hidden="1">
      <c r="A101" s="25" t="s">
        <v>264</v>
      </c>
      <c r="C101" s="23">
        <f>C102+C103</f>
        <v>165000</v>
      </c>
      <c r="D101" s="23">
        <f>D102+D103</f>
        <v>275000</v>
      </c>
      <c r="E101" s="23">
        <f>E102+E103</f>
        <v>330000</v>
      </c>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row>
    <row r="102" spans="2:43" ht="13.5" hidden="1">
      <c r="B102" s="25" t="s">
        <v>376</v>
      </c>
      <c r="C102" s="23">
        <f>(((C84*C85*C87)*C90)*C93)</f>
        <v>90000</v>
      </c>
      <c r="D102" s="23">
        <f>(((D84*D85*D87)*D90)*D93)</f>
        <v>150000</v>
      </c>
      <c r="E102" s="23">
        <f>(((E84*E85*E87)*E90)*E93)</f>
        <v>180000</v>
      </c>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row>
    <row r="103" spans="2:43" ht="13.5" hidden="1">
      <c r="B103" s="25" t="s">
        <v>377</v>
      </c>
      <c r="C103" s="23">
        <f>(C90*C91)*C95</f>
        <v>75000</v>
      </c>
      <c r="D103" s="23">
        <f>(D90*D91)*D95</f>
        <v>125000</v>
      </c>
      <c r="E103" s="23">
        <f>(E90*E91)*E95</f>
        <v>150000</v>
      </c>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row>
    <row r="104" ht="13.5" hidden="1"/>
    <row r="105" ht="12.75"/>
    <row r="106" spans="3:43" ht="12.75">
      <c r="C106" s="172"/>
      <c r="D106" s="172"/>
      <c r="E106" s="172"/>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row>
    <row r="107" ht="12.75">
      <c r="A107" s="99" t="s">
        <v>378</v>
      </c>
    </row>
    <row r="108" spans="1:2" ht="12.75">
      <c r="A108" s="99"/>
      <c r="B108" s="25" t="s">
        <v>379</v>
      </c>
    </row>
    <row r="109" spans="1:2" ht="12.75">
      <c r="A109" s="99"/>
      <c r="B109" s="164" t="s">
        <v>380</v>
      </c>
    </row>
    <row r="110" spans="1:2" ht="12.75">
      <c r="A110" s="99"/>
      <c r="B110" s="164" t="s">
        <v>381</v>
      </c>
    </row>
    <row r="111" ht="13.5" thickBot="1"/>
    <row r="112" spans="1:5" ht="12.75">
      <c r="A112" s="70" t="s">
        <v>408</v>
      </c>
      <c r="B112" s="71"/>
      <c r="C112" s="71"/>
      <c r="D112" s="71"/>
      <c r="E112" s="330"/>
    </row>
    <row r="113" spans="1:5" ht="12.75">
      <c r="A113" s="16"/>
      <c r="B113" s="48"/>
      <c r="C113" s="55" t="s">
        <v>196</v>
      </c>
      <c r="D113" s="55" t="s">
        <v>197</v>
      </c>
      <c r="E113" s="130" t="s">
        <v>198</v>
      </c>
    </row>
    <row r="114" spans="1:5" ht="13.5">
      <c r="A114" s="16"/>
      <c r="B114" s="48"/>
      <c r="C114" s="55"/>
      <c r="D114" s="55"/>
      <c r="E114" s="130"/>
    </row>
    <row r="115" spans="1:5" ht="13.5">
      <c r="A115" s="16"/>
      <c r="B115" s="17" t="s">
        <v>399</v>
      </c>
      <c r="C115" s="173">
        <f>'Revenue - B-to-B'!C30</f>
        <v>300000</v>
      </c>
      <c r="D115" s="173">
        <f>'Revenue - B-to-B'!D30</f>
        <v>300000</v>
      </c>
      <c r="E115" s="174">
        <f>'Revenue - B-to-B'!E30</f>
        <v>300000</v>
      </c>
    </row>
    <row r="116" spans="1:5" ht="13.5">
      <c r="A116" s="16"/>
      <c r="B116" s="17" t="s">
        <v>382</v>
      </c>
      <c r="C116" s="333">
        <v>0.001</v>
      </c>
      <c r="D116" s="333">
        <v>0.001</v>
      </c>
      <c r="E116" s="334">
        <v>0.001</v>
      </c>
    </row>
    <row r="117" spans="1:6" ht="13.5">
      <c r="A117" s="16"/>
      <c r="B117" s="17" t="s">
        <v>383</v>
      </c>
      <c r="C117" s="82">
        <v>0.0003</v>
      </c>
      <c r="D117" s="82">
        <v>0.0003</v>
      </c>
      <c r="E117" s="83">
        <v>0.0003</v>
      </c>
      <c r="F117" s="172"/>
    </row>
    <row r="118" spans="1:5" ht="13.5">
      <c r="A118" s="16"/>
      <c r="B118" s="17"/>
      <c r="C118" s="17"/>
      <c r="D118" s="17"/>
      <c r="E118" s="18"/>
    </row>
    <row r="119" spans="1:5" ht="13.5">
      <c r="A119" s="16"/>
      <c r="B119" s="17" t="s">
        <v>384</v>
      </c>
      <c r="C119" s="84">
        <v>50</v>
      </c>
      <c r="D119" s="84">
        <v>50</v>
      </c>
      <c r="E119" s="85">
        <v>50</v>
      </c>
    </row>
    <row r="120" spans="1:5" ht="13.5">
      <c r="A120" s="16"/>
      <c r="B120" s="17" t="s">
        <v>385</v>
      </c>
      <c r="C120" s="86">
        <v>2</v>
      </c>
      <c r="D120" s="86">
        <v>2</v>
      </c>
      <c r="E120" s="87">
        <v>2</v>
      </c>
    </row>
    <row r="121" spans="1:5" ht="13.5">
      <c r="A121" s="16"/>
      <c r="B121" s="17"/>
      <c r="C121" s="23"/>
      <c r="D121" s="23"/>
      <c r="E121" s="112"/>
    </row>
    <row r="122" spans="1:5" ht="13.5">
      <c r="A122" s="16"/>
      <c r="B122" s="17" t="s">
        <v>386</v>
      </c>
      <c r="C122" s="84">
        <v>500</v>
      </c>
      <c r="D122" s="84">
        <v>500</v>
      </c>
      <c r="E122" s="85">
        <v>500</v>
      </c>
    </row>
    <row r="123" spans="1:5" ht="13.5">
      <c r="A123" s="16"/>
      <c r="B123" s="17"/>
      <c r="C123" s="17"/>
      <c r="D123" s="11"/>
      <c r="E123" s="166"/>
    </row>
    <row r="124" spans="1:5" ht="15" thickBot="1">
      <c r="A124" s="19"/>
      <c r="B124" s="20"/>
      <c r="C124" s="20"/>
      <c r="D124" s="20"/>
      <c r="E124" s="21"/>
    </row>
    <row r="126" spans="3:5" ht="13.5">
      <c r="C126" s="169" t="s">
        <v>196</v>
      </c>
      <c r="D126" s="169" t="s">
        <v>197</v>
      </c>
      <c r="E126" s="169" t="s">
        <v>198</v>
      </c>
    </row>
    <row r="128" spans="1:43" ht="13.5">
      <c r="A128" s="25" t="s">
        <v>390</v>
      </c>
      <c r="C128" s="23">
        <f>C129+C130</f>
        <v>75000</v>
      </c>
      <c r="D128" s="23">
        <f>D129+D130</f>
        <v>75000</v>
      </c>
      <c r="E128" s="23">
        <f>E129+E130</f>
        <v>75000</v>
      </c>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row>
    <row r="129" spans="2:43" ht="13.5">
      <c r="B129" s="25" t="s">
        <v>387</v>
      </c>
      <c r="C129" s="23">
        <f>(C115*C116*C119*C120)</f>
        <v>30000</v>
      </c>
      <c r="D129" s="23">
        <f>(D115*D116*D119*D120)</f>
        <v>30000</v>
      </c>
      <c r="E129" s="23">
        <f>(E115*E116*E119*E120)</f>
        <v>30000</v>
      </c>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row>
    <row r="130" spans="2:43" ht="13.5">
      <c r="B130" s="25" t="s">
        <v>388</v>
      </c>
      <c r="C130" s="23">
        <f>C115*C117*C122</f>
        <v>44999.99999999999</v>
      </c>
      <c r="D130" s="23">
        <f>D115*D117*D122</f>
        <v>44999.99999999999</v>
      </c>
      <c r="E130" s="23">
        <f>E115*E117*E122</f>
        <v>44999.99999999999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row>
    <row r="134" ht="13.5">
      <c r="A134" s="99" t="s">
        <v>389</v>
      </c>
    </row>
    <row r="135" spans="1:2" ht="13.5">
      <c r="A135" s="99"/>
      <c r="B135" s="164" t="s">
        <v>503</v>
      </c>
    </row>
    <row r="136" spans="1:2" ht="13.5">
      <c r="A136" s="99"/>
      <c r="B136" s="164" t="s">
        <v>504</v>
      </c>
    </row>
    <row r="137" ht="15" thickBot="1"/>
    <row r="138" spans="1:5" ht="13.5">
      <c r="A138" s="70" t="s">
        <v>408</v>
      </c>
      <c r="B138" s="71"/>
      <c r="C138" s="71"/>
      <c r="D138" s="71"/>
      <c r="E138" s="330"/>
    </row>
    <row r="139" spans="1:5" ht="13.5">
      <c r="A139" s="16"/>
      <c r="B139" s="48"/>
      <c r="C139" s="55" t="s">
        <v>196</v>
      </c>
      <c r="D139" s="55" t="s">
        <v>197</v>
      </c>
      <c r="E139" s="130" t="s">
        <v>198</v>
      </c>
    </row>
    <row r="140" spans="1:5" ht="13.5">
      <c r="A140" s="16"/>
      <c r="B140" s="48"/>
      <c r="C140" s="55"/>
      <c r="D140" s="55"/>
      <c r="E140" s="130"/>
    </row>
    <row r="141" spans="1:5" ht="13.5">
      <c r="A141" s="16"/>
      <c r="B141" s="48" t="s">
        <v>505</v>
      </c>
      <c r="C141" s="86">
        <v>36</v>
      </c>
      <c r="D141" s="86">
        <v>42</v>
      </c>
      <c r="E141" s="87">
        <v>52</v>
      </c>
    </row>
    <row r="142" spans="1:6" ht="13.5">
      <c r="A142" s="16"/>
      <c r="B142" s="17" t="s">
        <v>506</v>
      </c>
      <c r="C142" s="84">
        <v>700</v>
      </c>
      <c r="D142" s="84">
        <v>700</v>
      </c>
      <c r="E142" s="85">
        <v>700</v>
      </c>
      <c r="F142" s="25" t="s">
        <v>507</v>
      </c>
    </row>
    <row r="143" spans="1:5" ht="13.5">
      <c r="A143" s="16"/>
      <c r="B143" s="17"/>
      <c r="C143" s="17"/>
      <c r="D143" s="17"/>
      <c r="E143" s="18"/>
    </row>
    <row r="144" spans="1:5" ht="15" thickBot="1">
      <c r="A144" s="19"/>
      <c r="B144" s="20"/>
      <c r="C144" s="20"/>
      <c r="D144" s="20"/>
      <c r="E144" s="21"/>
    </row>
    <row r="146" spans="3:5" ht="13.5">
      <c r="C146" s="169" t="s">
        <v>196</v>
      </c>
      <c r="D146" s="169" t="s">
        <v>197</v>
      </c>
      <c r="E146" s="169" t="s">
        <v>198</v>
      </c>
    </row>
    <row r="148" spans="1:43" ht="13.5">
      <c r="A148" s="25" t="s">
        <v>391</v>
      </c>
      <c r="C148" s="23">
        <f>C141*C142</f>
        <v>25200</v>
      </c>
      <c r="D148" s="23">
        <f>D141*D142</f>
        <v>29400</v>
      </c>
      <c r="E148" s="23">
        <f>E141*E142</f>
        <v>36400</v>
      </c>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row>
    <row r="152" ht="13.5">
      <c r="A152" s="99" t="s">
        <v>508</v>
      </c>
    </row>
    <row r="153" spans="1:2" ht="13.5">
      <c r="A153" s="99"/>
      <c r="B153" s="164" t="s">
        <v>539</v>
      </c>
    </row>
    <row r="154" spans="1:2" ht="13.5">
      <c r="A154" s="99"/>
      <c r="B154" s="164" t="s">
        <v>540</v>
      </c>
    </row>
    <row r="155" ht="15" thickBot="1"/>
    <row r="156" spans="1:5" ht="13.5">
      <c r="A156" s="70" t="s">
        <v>408</v>
      </c>
      <c r="B156" s="71"/>
      <c r="C156" s="71"/>
      <c r="D156" s="71"/>
      <c r="E156" s="330"/>
    </row>
    <row r="157" spans="1:5" ht="13.5">
      <c r="A157" s="16"/>
      <c r="B157" s="48"/>
      <c r="C157" s="55" t="s">
        <v>196</v>
      </c>
      <c r="D157" s="55" t="s">
        <v>197</v>
      </c>
      <c r="E157" s="130" t="s">
        <v>198</v>
      </c>
    </row>
    <row r="158" spans="1:5" ht="13.5">
      <c r="A158" s="16"/>
      <c r="B158" s="165" t="s">
        <v>541</v>
      </c>
      <c r="C158" s="82">
        <v>0.001</v>
      </c>
      <c r="D158" s="82">
        <v>0.001</v>
      </c>
      <c r="E158" s="83">
        <v>0.001</v>
      </c>
    </row>
    <row r="159" spans="1:5" ht="13.5">
      <c r="A159" s="16"/>
      <c r="B159" s="17" t="s">
        <v>542</v>
      </c>
      <c r="C159" s="11">
        <f>C158*'Revenue - Website'!C22</f>
        <v>800</v>
      </c>
      <c r="D159" s="11">
        <f>D158*'Revenue - Website'!D22</f>
        <v>1880</v>
      </c>
      <c r="E159" s="166">
        <f>E158*'Revenue - Website'!E22</f>
        <v>2800</v>
      </c>
    </row>
    <row r="160" spans="1:5" ht="13.5">
      <c r="A160" s="16"/>
      <c r="B160" s="17"/>
      <c r="C160" s="11"/>
      <c r="D160" s="11"/>
      <c r="E160" s="166"/>
    </row>
    <row r="161" spans="1:6" ht="13.5">
      <c r="A161" s="16"/>
      <c r="B161" s="17" t="s">
        <v>543</v>
      </c>
      <c r="C161" s="74">
        <v>0.25</v>
      </c>
      <c r="D161" s="74">
        <v>0.25</v>
      </c>
      <c r="E161" s="75">
        <v>0.25</v>
      </c>
      <c r="F161" s="175"/>
    </row>
    <row r="162" spans="1:5" ht="13.5">
      <c r="A162" s="16"/>
      <c r="B162" s="17"/>
      <c r="C162" s="11"/>
      <c r="D162" s="11"/>
      <c r="E162" s="166"/>
    </row>
    <row r="163" spans="1:5" ht="13.5">
      <c r="A163" s="16"/>
      <c r="B163" s="17" t="s">
        <v>399</v>
      </c>
      <c r="C163" s="173">
        <f>'Revenue - B-to-B'!C30</f>
        <v>300000</v>
      </c>
      <c r="D163" s="173">
        <f>'Revenue - B-to-B'!D30</f>
        <v>300000</v>
      </c>
      <c r="E163" s="166">
        <f>'Revenue - B-to-B'!E30</f>
        <v>300000</v>
      </c>
    </row>
    <row r="164" spans="1:5" ht="13.5">
      <c r="A164" s="16"/>
      <c r="B164" s="17" t="s">
        <v>544</v>
      </c>
      <c r="C164" s="82">
        <v>0.0001</v>
      </c>
      <c r="D164" s="82">
        <v>0.0002</v>
      </c>
      <c r="E164" s="83">
        <v>0.0005</v>
      </c>
    </row>
    <row r="165" spans="1:5" ht="13.5">
      <c r="A165" s="16"/>
      <c r="B165" s="17" t="s">
        <v>545</v>
      </c>
      <c r="C165" s="11">
        <f>C163*C164</f>
        <v>30</v>
      </c>
      <c r="D165" s="11">
        <f>D163*D164</f>
        <v>60</v>
      </c>
      <c r="E165" s="166">
        <f>E163*E164</f>
        <v>150</v>
      </c>
    </row>
    <row r="166" spans="1:5" ht="13.5">
      <c r="A166" s="16"/>
      <c r="B166" s="17"/>
      <c r="C166" s="17"/>
      <c r="D166" s="17"/>
      <c r="E166" s="18"/>
    </row>
    <row r="167" spans="1:5" ht="15" thickBot="1">
      <c r="A167" s="19"/>
      <c r="B167" s="20"/>
      <c r="C167" s="20"/>
      <c r="D167" s="20"/>
      <c r="E167" s="21"/>
    </row>
    <row r="169" spans="3:5" ht="13.5">
      <c r="C169" s="169" t="s">
        <v>196</v>
      </c>
      <c r="D169" s="169" t="s">
        <v>197</v>
      </c>
      <c r="E169" s="169" t="s">
        <v>198</v>
      </c>
    </row>
    <row r="171" spans="1:43" ht="13.5">
      <c r="A171" s="25" t="s">
        <v>392</v>
      </c>
      <c r="C171" s="23">
        <f>C159*C161*C165</f>
        <v>6000</v>
      </c>
      <c r="D171" s="23">
        <f>D159*D161*D165</f>
        <v>28200</v>
      </c>
      <c r="E171" s="23">
        <f>E159*E161*E165</f>
        <v>105000</v>
      </c>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row>
    <row r="175" ht="13.5">
      <c r="A175" s="99" t="s">
        <v>546</v>
      </c>
    </row>
    <row r="176" spans="1:2" ht="13.5">
      <c r="A176" s="99"/>
      <c r="B176" s="25" t="s">
        <v>456</v>
      </c>
    </row>
    <row r="177" spans="1:2" ht="13.5">
      <c r="A177" s="99"/>
      <c r="B177" s="25" t="s">
        <v>460</v>
      </c>
    </row>
    <row r="178" spans="1:2" ht="13.5">
      <c r="A178" s="99"/>
      <c r="B178" s="164" t="s">
        <v>547</v>
      </c>
    </row>
    <row r="179" spans="1:2" ht="13.5">
      <c r="A179" s="99"/>
      <c r="B179" s="164" t="s">
        <v>548</v>
      </c>
    </row>
    <row r="180" spans="1:2" ht="13.5">
      <c r="A180" s="99"/>
      <c r="B180" s="164" t="s">
        <v>549</v>
      </c>
    </row>
    <row r="181" ht="15" thickBot="1"/>
    <row r="182" spans="1:5" ht="13.5">
      <c r="A182" s="70" t="s">
        <v>408</v>
      </c>
      <c r="B182" s="71"/>
      <c r="C182" s="71"/>
      <c r="D182" s="71"/>
      <c r="E182" s="330"/>
    </row>
    <row r="183" spans="1:5" ht="13.5">
      <c r="A183" s="16"/>
      <c r="B183" s="48"/>
      <c r="C183" s="55" t="s">
        <v>196</v>
      </c>
      <c r="D183" s="55" t="s">
        <v>197</v>
      </c>
      <c r="E183" s="130" t="s">
        <v>198</v>
      </c>
    </row>
    <row r="184" spans="1:5" ht="13.5">
      <c r="A184" s="16"/>
      <c r="B184" s="48" t="s">
        <v>463</v>
      </c>
      <c r="C184" s="173"/>
      <c r="D184" s="86">
        <v>2</v>
      </c>
      <c r="E184" s="87">
        <v>1</v>
      </c>
    </row>
    <row r="185" spans="1:5" ht="13.5">
      <c r="A185" s="16"/>
      <c r="B185" s="48" t="s">
        <v>464</v>
      </c>
      <c r="C185" s="173"/>
      <c r="D185" s="86"/>
      <c r="E185" s="87">
        <v>2</v>
      </c>
    </row>
    <row r="186" spans="1:5" ht="13.5">
      <c r="A186" s="16"/>
      <c r="B186" s="48" t="s">
        <v>465</v>
      </c>
      <c r="C186" s="173"/>
      <c r="D186" s="11">
        <f>D184+D185</f>
        <v>2</v>
      </c>
      <c r="E186" s="166">
        <f>E184+E185</f>
        <v>3</v>
      </c>
    </row>
    <row r="187" spans="1:8" ht="13.5">
      <c r="A187" s="16"/>
      <c r="B187" s="17" t="s">
        <v>466</v>
      </c>
      <c r="C187" s="173"/>
      <c r="D187" s="86">
        <v>300</v>
      </c>
      <c r="E187" s="87">
        <v>300</v>
      </c>
      <c r="H187" s="164"/>
    </row>
    <row r="188" spans="1:8" ht="13.5">
      <c r="A188" s="16"/>
      <c r="B188" s="17"/>
      <c r="C188" s="8"/>
      <c r="D188" s="17"/>
      <c r="E188" s="18"/>
      <c r="F188" s="170"/>
      <c r="H188" s="164"/>
    </row>
    <row r="189" spans="1:6" ht="13.5">
      <c r="A189" s="16"/>
      <c r="B189" s="165" t="s">
        <v>467</v>
      </c>
      <c r="C189" s="176"/>
      <c r="D189" s="82">
        <v>0.0005</v>
      </c>
      <c r="E189" s="83">
        <v>0.0005</v>
      </c>
      <c r="F189" s="170"/>
    </row>
    <row r="190" spans="1:5" ht="13.5">
      <c r="A190" s="16"/>
      <c r="B190" s="17" t="s">
        <v>468</v>
      </c>
      <c r="C190" s="173"/>
      <c r="D190" s="11">
        <f>D189*'Revenue - Website'!D22</f>
        <v>940</v>
      </c>
      <c r="E190" s="166">
        <f>E189*'Revenue - Website'!E22</f>
        <v>1400</v>
      </c>
    </row>
    <row r="191" spans="1:5" ht="13.5">
      <c r="A191" s="16"/>
      <c r="B191" s="17" t="s">
        <v>469</v>
      </c>
      <c r="C191" s="8"/>
      <c r="D191" s="76">
        <v>0.3</v>
      </c>
      <c r="E191" s="69">
        <v>0.3</v>
      </c>
    </row>
    <row r="192" spans="1:5" ht="13.5">
      <c r="A192" s="16"/>
      <c r="B192" s="17" t="s">
        <v>470</v>
      </c>
      <c r="C192" s="8"/>
      <c r="D192" s="76">
        <v>0.6</v>
      </c>
      <c r="E192" s="69">
        <v>0.6</v>
      </c>
    </row>
    <row r="193" spans="1:5" ht="13.5">
      <c r="A193" s="16"/>
      <c r="B193" s="17" t="s">
        <v>550</v>
      </c>
      <c r="C193" s="8"/>
      <c r="D193" s="76">
        <v>0.1</v>
      </c>
      <c r="E193" s="69">
        <v>0.1</v>
      </c>
    </row>
    <row r="194" spans="1:5" ht="13.5">
      <c r="A194" s="16"/>
      <c r="B194" s="17"/>
      <c r="C194" s="8"/>
      <c r="D194" s="17"/>
      <c r="E194" s="18"/>
    </row>
    <row r="195" spans="1:5" ht="13.5">
      <c r="A195" s="16"/>
      <c r="B195" s="17" t="s">
        <v>471</v>
      </c>
      <c r="C195" s="177"/>
      <c r="D195" s="74">
        <v>0.6</v>
      </c>
      <c r="E195" s="75">
        <v>0.6</v>
      </c>
    </row>
    <row r="196" spans="1:5" ht="13.5">
      <c r="A196" s="16"/>
      <c r="B196" s="17" t="s">
        <v>472</v>
      </c>
      <c r="C196" s="177"/>
      <c r="D196" s="74">
        <v>0.2</v>
      </c>
      <c r="E196" s="75">
        <v>0.2</v>
      </c>
    </row>
    <row r="197" spans="1:5" ht="13.5">
      <c r="A197" s="16"/>
      <c r="B197" s="17" t="s">
        <v>551</v>
      </c>
      <c r="C197" s="177"/>
      <c r="D197" s="74">
        <v>20</v>
      </c>
      <c r="E197" s="75">
        <v>20</v>
      </c>
    </row>
    <row r="198" spans="1:5" ht="13.5">
      <c r="A198" s="16"/>
      <c r="B198" s="17"/>
      <c r="C198" s="177"/>
      <c r="D198" s="12"/>
      <c r="E198" s="168"/>
    </row>
    <row r="199" spans="1:5" ht="15" thickBot="1">
      <c r="A199" s="19"/>
      <c r="B199" s="20"/>
      <c r="C199" s="20"/>
      <c r="D199" s="20"/>
      <c r="E199" s="21"/>
    </row>
    <row r="201" spans="3:5" ht="13.5">
      <c r="C201" s="169" t="s">
        <v>196</v>
      </c>
      <c r="D201" s="169" t="s">
        <v>197</v>
      </c>
      <c r="E201" s="169" t="s">
        <v>198</v>
      </c>
    </row>
    <row r="202" ht="13.5">
      <c r="H202" s="178"/>
    </row>
    <row r="203" spans="1:43" ht="13.5">
      <c r="A203" s="25" t="s">
        <v>393</v>
      </c>
      <c r="C203" s="23"/>
      <c r="D203" s="23">
        <f>(D190*D191*D186*D187*D195)+(D190*D192*D186*D187*D196)+(D190*D193*D197)</f>
        <v>171080</v>
      </c>
      <c r="E203" s="23">
        <f>(E190*E191*E186*E187*E195)+(E190*E192*E186*E187*E196)+(E190*E193*E197)</f>
        <v>380800</v>
      </c>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row>
    <row r="205" ht="13.5">
      <c r="H205" s="164"/>
    </row>
    <row r="206" ht="13.5">
      <c r="H206" s="164"/>
    </row>
    <row r="207" ht="13.5">
      <c r="A207" s="99" t="s">
        <v>552</v>
      </c>
    </row>
    <row r="208" spans="1:2" ht="13.5">
      <c r="A208" s="99"/>
      <c r="B208" s="25" t="s">
        <v>208</v>
      </c>
    </row>
    <row r="209" spans="1:2" ht="13.5">
      <c r="A209" s="99"/>
      <c r="B209" s="178" t="s">
        <v>553</v>
      </c>
    </row>
    <row r="210" ht="15" thickBot="1"/>
    <row r="211" spans="1:5" ht="13.5">
      <c r="A211" s="70" t="s">
        <v>408</v>
      </c>
      <c r="B211" s="71"/>
      <c r="C211" s="71"/>
      <c r="D211" s="71"/>
      <c r="E211" s="330"/>
    </row>
    <row r="212" spans="1:5" ht="13.5">
      <c r="A212" s="16"/>
      <c r="B212" s="48"/>
      <c r="C212" s="55" t="s">
        <v>196</v>
      </c>
      <c r="D212" s="55" t="s">
        <v>197</v>
      </c>
      <c r="E212" s="130" t="s">
        <v>198</v>
      </c>
    </row>
    <row r="213" spans="1:43" ht="13.5">
      <c r="A213" s="179">
        <v>0.05</v>
      </c>
      <c r="B213" s="17" t="s">
        <v>554</v>
      </c>
      <c r="C213" s="11"/>
      <c r="D213" s="84">
        <v>1450000000</v>
      </c>
      <c r="E213" s="85">
        <f>D213*(1+A213)</f>
        <v>1522500000</v>
      </c>
      <c r="F213" s="180" t="s">
        <v>555</v>
      </c>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row>
    <row r="214" spans="1:6" ht="13.5">
      <c r="A214" s="16"/>
      <c r="B214" s="17" t="s">
        <v>556</v>
      </c>
      <c r="C214" s="11"/>
      <c r="D214" s="177">
        <f>D213/300000000</f>
        <v>4.833333333333333</v>
      </c>
      <c r="E214" s="181">
        <f>E213/300000000</f>
        <v>5.075</v>
      </c>
      <c r="F214" s="182"/>
    </row>
    <row r="215" spans="1:5" ht="13.5">
      <c r="A215" s="16"/>
      <c r="B215" s="17"/>
      <c r="C215" s="11"/>
      <c r="D215" s="11"/>
      <c r="E215" s="166"/>
    </row>
    <row r="216" spans="1:5" ht="13.5">
      <c r="A216" s="16"/>
      <c r="B216" s="17" t="s">
        <v>557</v>
      </c>
      <c r="C216" s="11"/>
      <c r="D216" s="11">
        <f>'Revenue - Website'!D16</f>
        <v>5000000</v>
      </c>
      <c r="E216" s="166">
        <f>'Revenue - Website'!E16</f>
        <v>5000000</v>
      </c>
    </row>
    <row r="217" spans="1:5" ht="13.5">
      <c r="A217" s="16"/>
      <c r="B217" s="17" t="s">
        <v>558</v>
      </c>
      <c r="C217" s="11"/>
      <c r="D217" s="183">
        <f>D214*D216</f>
        <v>24166666.666666664</v>
      </c>
      <c r="E217" s="184">
        <f>E216*E214</f>
        <v>25375000</v>
      </c>
    </row>
    <row r="218" spans="1:5" ht="13.5">
      <c r="A218" s="16"/>
      <c r="B218" s="17" t="s">
        <v>559</v>
      </c>
      <c r="C218" s="11"/>
      <c r="D218" s="76">
        <v>0.02</v>
      </c>
      <c r="E218" s="69">
        <v>0.02</v>
      </c>
    </row>
    <row r="219" spans="1:5" ht="13.5">
      <c r="A219" s="16"/>
      <c r="B219" s="17" t="s">
        <v>560</v>
      </c>
      <c r="C219" s="11"/>
      <c r="D219" s="76">
        <v>0.07</v>
      </c>
      <c r="E219" s="69">
        <v>0.07</v>
      </c>
    </row>
    <row r="220" spans="1:6" ht="13.5">
      <c r="A220" s="16"/>
      <c r="B220" s="17"/>
      <c r="C220" s="17"/>
      <c r="D220" s="17"/>
      <c r="E220" s="18"/>
      <c r="F220" s="185"/>
    </row>
    <row r="221" spans="1:5" ht="15" thickBot="1">
      <c r="A221" s="19"/>
      <c r="B221" s="20"/>
      <c r="C221" s="20"/>
      <c r="D221" s="20"/>
      <c r="E221" s="21"/>
    </row>
    <row r="223" spans="3:5" ht="13.5">
      <c r="C223" s="169" t="s">
        <v>196</v>
      </c>
      <c r="D223" s="169" t="s">
        <v>197</v>
      </c>
      <c r="E223" s="169" t="s">
        <v>198</v>
      </c>
    </row>
    <row r="224" ht="13.5">
      <c r="A224" s="99"/>
    </row>
    <row r="225" spans="1:43" ht="13.5">
      <c r="A225" s="25" t="s">
        <v>394</v>
      </c>
      <c r="C225" s="23"/>
      <c r="D225" s="23">
        <f>D217*D218*D219</f>
        <v>33833.333333333336</v>
      </c>
      <c r="E225" s="23">
        <f>E217*E218*E219</f>
        <v>35525</v>
      </c>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row>
    <row r="229" ht="13.5">
      <c r="A229" s="99" t="s">
        <v>418</v>
      </c>
    </row>
    <row r="230" spans="1:2" ht="13.5">
      <c r="A230" s="99"/>
      <c r="B230" s="164" t="s">
        <v>396</v>
      </c>
    </row>
    <row r="231" spans="1:2" ht="13.5">
      <c r="A231" s="99"/>
      <c r="B231" s="164" t="s">
        <v>419</v>
      </c>
    </row>
    <row r="232" spans="1:2" ht="13.5">
      <c r="A232" s="99"/>
      <c r="B232" s="164" t="s">
        <v>420</v>
      </c>
    </row>
    <row r="233" ht="15" thickBot="1"/>
    <row r="234" spans="1:31" ht="13.5">
      <c r="A234" s="70" t="s">
        <v>408</v>
      </c>
      <c r="B234" s="71"/>
      <c r="C234" s="71"/>
      <c r="D234" s="71"/>
      <c r="E234" s="330"/>
      <c r="H234" s="53" t="s">
        <v>197</v>
      </c>
      <c r="I234" s="54"/>
      <c r="J234" s="54"/>
      <c r="K234" s="54"/>
      <c r="L234" s="54"/>
      <c r="M234" s="54"/>
      <c r="N234" s="54"/>
      <c r="O234" s="54"/>
      <c r="P234" s="54"/>
      <c r="Q234" s="54"/>
      <c r="R234" s="54"/>
      <c r="S234" s="39"/>
      <c r="T234" s="53" t="s">
        <v>198</v>
      </c>
      <c r="U234" s="54"/>
      <c r="V234" s="54"/>
      <c r="W234" s="54"/>
      <c r="X234" s="54"/>
      <c r="Y234" s="54"/>
      <c r="Z234" s="54"/>
      <c r="AA234" s="54"/>
      <c r="AB234" s="54"/>
      <c r="AC234" s="54"/>
      <c r="AD234" s="54"/>
      <c r="AE234" s="39"/>
    </row>
    <row r="235" spans="1:31" ht="13.5">
      <c r="A235" s="16"/>
      <c r="B235" s="48"/>
      <c r="C235" s="55" t="s">
        <v>196</v>
      </c>
      <c r="D235" s="55" t="s">
        <v>197</v>
      </c>
      <c r="E235" s="130" t="s">
        <v>198</v>
      </c>
      <c r="H235" s="40" t="s">
        <v>200</v>
      </c>
      <c r="I235" s="41" t="s">
        <v>201</v>
      </c>
      <c r="J235" s="41" t="s">
        <v>202</v>
      </c>
      <c r="K235" s="41" t="s">
        <v>203</v>
      </c>
      <c r="L235" s="41" t="s">
        <v>477</v>
      </c>
      <c r="M235" s="41" t="s">
        <v>357</v>
      </c>
      <c r="N235" s="41" t="s">
        <v>358</v>
      </c>
      <c r="O235" s="41" t="s">
        <v>359</v>
      </c>
      <c r="P235" s="41" t="s">
        <v>360</v>
      </c>
      <c r="Q235" s="41" t="s">
        <v>361</v>
      </c>
      <c r="R235" s="41" t="s">
        <v>362</v>
      </c>
      <c r="S235" s="41" t="s">
        <v>363</v>
      </c>
      <c r="T235" s="41" t="s">
        <v>200</v>
      </c>
      <c r="U235" s="41" t="s">
        <v>201</v>
      </c>
      <c r="V235" s="41" t="s">
        <v>202</v>
      </c>
      <c r="W235" s="41" t="s">
        <v>203</v>
      </c>
      <c r="X235" s="41" t="s">
        <v>477</v>
      </c>
      <c r="Y235" s="41" t="s">
        <v>357</v>
      </c>
      <c r="Z235" s="41" t="s">
        <v>358</v>
      </c>
      <c r="AA235" s="41" t="s">
        <v>359</v>
      </c>
      <c r="AB235" s="41" t="s">
        <v>360</v>
      </c>
      <c r="AC235" s="41" t="s">
        <v>361</v>
      </c>
      <c r="AD235" s="41" t="s">
        <v>362</v>
      </c>
      <c r="AE235" s="41" t="s">
        <v>363</v>
      </c>
    </row>
    <row r="236" spans="1:5" ht="13.5">
      <c r="A236" s="16"/>
      <c r="B236" s="48"/>
      <c r="C236" s="55"/>
      <c r="D236" s="55"/>
      <c r="E236" s="130"/>
    </row>
    <row r="237" spans="1:5" ht="13.5">
      <c r="A237" s="24" t="s">
        <v>421</v>
      </c>
      <c r="B237" s="48"/>
      <c r="C237" s="55"/>
      <c r="D237" s="55"/>
      <c r="E237" s="130"/>
    </row>
    <row r="238" spans="1:5" ht="13.5">
      <c r="A238" s="16"/>
      <c r="B238" s="48" t="s">
        <v>422</v>
      </c>
      <c r="C238" s="26"/>
      <c r="D238" s="86">
        <v>1</v>
      </c>
      <c r="E238" s="87">
        <v>2</v>
      </c>
    </row>
    <row r="239" spans="1:5" ht="13.5">
      <c r="A239" s="16"/>
      <c r="B239" s="48"/>
      <c r="C239" s="26"/>
      <c r="D239" s="55"/>
      <c r="E239" s="130"/>
    </row>
    <row r="240" spans="1:5" ht="13.5">
      <c r="A240" s="16"/>
      <c r="B240" s="48" t="s">
        <v>585</v>
      </c>
      <c r="C240" s="26"/>
      <c r="D240" s="43">
        <f>'Revenue - Website'!D16</f>
        <v>5000000</v>
      </c>
      <c r="E240" s="166">
        <f>'Revenue - Website'!E16</f>
        <v>5000000</v>
      </c>
    </row>
    <row r="241" spans="1:5" ht="13.5">
      <c r="A241" s="16"/>
      <c r="B241" s="48" t="s">
        <v>423</v>
      </c>
      <c r="C241" s="26"/>
      <c r="D241" s="76">
        <v>0.3</v>
      </c>
      <c r="E241" s="69">
        <v>0.3</v>
      </c>
    </row>
    <row r="242" spans="1:5" ht="13.5">
      <c r="A242" s="16"/>
      <c r="B242" s="48" t="s">
        <v>424</v>
      </c>
      <c r="C242" s="26"/>
      <c r="D242" s="76">
        <v>0.4</v>
      </c>
      <c r="E242" s="69">
        <v>0.55</v>
      </c>
    </row>
    <row r="243" spans="1:31" ht="13.5">
      <c r="A243" s="16"/>
      <c r="B243" s="48" t="s">
        <v>365</v>
      </c>
      <c r="C243" s="26"/>
      <c r="D243" s="165">
        <f>D240*D241*D242</f>
        <v>600000</v>
      </c>
      <c r="E243" s="186">
        <f>E240*E241*E242</f>
        <v>825000.0000000001</v>
      </c>
      <c r="G243" s="25" t="s">
        <v>425</v>
      </c>
      <c r="H243" s="30">
        <f>S243/12</f>
        <v>50000</v>
      </c>
      <c r="I243" s="30">
        <f aca="true" t="shared" si="34" ref="I243:R243">H243+($S$243/12)</f>
        <v>100000</v>
      </c>
      <c r="J243" s="30">
        <f t="shared" si="34"/>
        <v>150000</v>
      </c>
      <c r="K243" s="30">
        <f t="shared" si="34"/>
        <v>200000</v>
      </c>
      <c r="L243" s="30">
        <f t="shared" si="34"/>
        <v>250000</v>
      </c>
      <c r="M243" s="30">
        <f t="shared" si="34"/>
        <v>300000</v>
      </c>
      <c r="N243" s="30">
        <f t="shared" si="34"/>
        <v>350000</v>
      </c>
      <c r="O243" s="30">
        <f t="shared" si="34"/>
        <v>400000</v>
      </c>
      <c r="P243" s="30">
        <f t="shared" si="34"/>
        <v>450000</v>
      </c>
      <c r="Q243" s="30">
        <f t="shared" si="34"/>
        <v>500000</v>
      </c>
      <c r="R243" s="30">
        <f t="shared" si="34"/>
        <v>550000</v>
      </c>
      <c r="S243" s="30">
        <f>D243</f>
        <v>600000</v>
      </c>
      <c r="T243" s="30">
        <f aca="true" t="shared" si="35" ref="T243:AD243">S243+(($AE$243-$S$243)/12)</f>
        <v>618750</v>
      </c>
      <c r="U243" s="30">
        <f t="shared" si="35"/>
        <v>637500</v>
      </c>
      <c r="V243" s="30">
        <f t="shared" si="35"/>
        <v>656250</v>
      </c>
      <c r="W243" s="30">
        <f t="shared" si="35"/>
        <v>675000</v>
      </c>
      <c r="X243" s="30">
        <f t="shared" si="35"/>
        <v>693750</v>
      </c>
      <c r="Y243" s="30">
        <f t="shared" si="35"/>
        <v>712500</v>
      </c>
      <c r="Z243" s="30">
        <f t="shared" si="35"/>
        <v>731250</v>
      </c>
      <c r="AA243" s="30">
        <f t="shared" si="35"/>
        <v>750000</v>
      </c>
      <c r="AB243" s="30">
        <f t="shared" si="35"/>
        <v>768750</v>
      </c>
      <c r="AC243" s="30">
        <f t="shared" si="35"/>
        <v>787500</v>
      </c>
      <c r="AD243" s="30">
        <f t="shared" si="35"/>
        <v>806250</v>
      </c>
      <c r="AE243" s="30">
        <f>E243</f>
        <v>825000.0000000001</v>
      </c>
    </row>
    <row r="244" spans="1:31" ht="13.5">
      <c r="A244" s="16"/>
      <c r="B244" s="48" t="s">
        <v>243</v>
      </c>
      <c r="C244" s="26"/>
      <c r="D244" s="86">
        <v>4</v>
      </c>
      <c r="E244" s="87">
        <v>6</v>
      </c>
      <c r="G244" s="25" t="s">
        <v>426</v>
      </c>
      <c r="H244" s="30">
        <f aca="true" t="shared" si="36" ref="H244:S244">H243*$D$244</f>
        <v>200000</v>
      </c>
      <c r="I244" s="30">
        <f t="shared" si="36"/>
        <v>400000</v>
      </c>
      <c r="J244" s="30">
        <f t="shared" si="36"/>
        <v>600000</v>
      </c>
      <c r="K244" s="30">
        <f t="shared" si="36"/>
        <v>800000</v>
      </c>
      <c r="L244" s="30">
        <f t="shared" si="36"/>
        <v>1000000</v>
      </c>
      <c r="M244" s="30">
        <f t="shared" si="36"/>
        <v>1200000</v>
      </c>
      <c r="N244" s="30">
        <f t="shared" si="36"/>
        <v>1400000</v>
      </c>
      <c r="O244" s="30">
        <f t="shared" si="36"/>
        <v>1600000</v>
      </c>
      <c r="P244" s="30">
        <f t="shared" si="36"/>
        <v>1800000</v>
      </c>
      <c r="Q244" s="30">
        <f t="shared" si="36"/>
        <v>2000000</v>
      </c>
      <c r="R244" s="30">
        <f t="shared" si="36"/>
        <v>2200000</v>
      </c>
      <c r="S244" s="30">
        <f t="shared" si="36"/>
        <v>2400000</v>
      </c>
      <c r="T244" s="30">
        <f aca="true" t="shared" si="37" ref="T244:AE244">T243*$E$244</f>
        <v>3712500</v>
      </c>
      <c r="U244" s="30">
        <f t="shared" si="37"/>
        <v>3825000</v>
      </c>
      <c r="V244" s="30">
        <f t="shared" si="37"/>
        <v>3937500</v>
      </c>
      <c r="W244" s="30">
        <f t="shared" si="37"/>
        <v>4050000</v>
      </c>
      <c r="X244" s="30">
        <f t="shared" si="37"/>
        <v>4162500</v>
      </c>
      <c r="Y244" s="30">
        <f t="shared" si="37"/>
        <v>4275000</v>
      </c>
      <c r="Z244" s="30">
        <f t="shared" si="37"/>
        <v>4387500</v>
      </c>
      <c r="AA244" s="30">
        <f t="shared" si="37"/>
        <v>4500000</v>
      </c>
      <c r="AB244" s="30">
        <f t="shared" si="37"/>
        <v>4612500</v>
      </c>
      <c r="AC244" s="30">
        <f t="shared" si="37"/>
        <v>4725000</v>
      </c>
      <c r="AD244" s="30">
        <f t="shared" si="37"/>
        <v>4837500</v>
      </c>
      <c r="AE244" s="30">
        <f t="shared" si="37"/>
        <v>4950000.000000001</v>
      </c>
    </row>
    <row r="245" spans="1:5" ht="13.5">
      <c r="A245" s="16"/>
      <c r="B245" s="48"/>
      <c r="C245" s="26"/>
      <c r="D245" s="55"/>
      <c r="E245" s="130"/>
    </row>
    <row r="246" spans="1:6" ht="13.5">
      <c r="A246" s="24" t="s">
        <v>235</v>
      </c>
      <c r="B246" s="23"/>
      <c r="C246" s="26"/>
      <c r="D246" s="48"/>
      <c r="E246" s="15"/>
      <c r="F246" s="30"/>
    </row>
    <row r="247" spans="1:7" ht="13.5">
      <c r="A247" s="16" t="s">
        <v>367</v>
      </c>
      <c r="B247" s="23"/>
      <c r="C247" s="26"/>
      <c r="D247" s="66">
        <v>3</v>
      </c>
      <c r="E247" s="67">
        <v>3</v>
      </c>
      <c r="F247" s="30"/>
      <c r="G247" s="30"/>
    </row>
    <row r="248" spans="1:7" ht="13.5">
      <c r="A248" s="16" t="s">
        <v>366</v>
      </c>
      <c r="B248" s="12"/>
      <c r="C248" s="26"/>
      <c r="D248" s="74">
        <v>12</v>
      </c>
      <c r="E248" s="75">
        <v>12</v>
      </c>
      <c r="F248" s="30" t="s">
        <v>530</v>
      </c>
      <c r="G248" s="30"/>
    </row>
    <row r="249" spans="1:31" ht="13.5">
      <c r="A249" s="16" t="s">
        <v>458</v>
      </c>
      <c r="B249" s="23"/>
      <c r="C249" s="26"/>
      <c r="D249" s="76">
        <v>0.5</v>
      </c>
      <c r="E249" s="69">
        <v>0.55</v>
      </c>
      <c r="F249" s="30"/>
      <c r="G249" s="30" t="s">
        <v>427</v>
      </c>
      <c r="H249" s="136">
        <f aca="true" t="shared" si="38" ref="H249:S249">(H244/1000)*$D$248*$D$247*$D$249</f>
        <v>3600</v>
      </c>
      <c r="I249" s="136">
        <f t="shared" si="38"/>
        <v>7200</v>
      </c>
      <c r="J249" s="136">
        <f t="shared" si="38"/>
        <v>10800</v>
      </c>
      <c r="K249" s="136">
        <f t="shared" si="38"/>
        <v>14400</v>
      </c>
      <c r="L249" s="136">
        <f t="shared" si="38"/>
        <v>18000</v>
      </c>
      <c r="M249" s="136">
        <f t="shared" si="38"/>
        <v>21600</v>
      </c>
      <c r="N249" s="136">
        <f t="shared" si="38"/>
        <v>25200</v>
      </c>
      <c r="O249" s="136">
        <f t="shared" si="38"/>
        <v>28800</v>
      </c>
      <c r="P249" s="136">
        <f t="shared" si="38"/>
        <v>32400</v>
      </c>
      <c r="Q249" s="136">
        <f t="shared" si="38"/>
        <v>36000</v>
      </c>
      <c r="R249" s="136">
        <f t="shared" si="38"/>
        <v>39600</v>
      </c>
      <c r="S249" s="136">
        <f t="shared" si="38"/>
        <v>43200</v>
      </c>
      <c r="T249" s="136">
        <f aca="true" t="shared" si="39" ref="T249:AE249">(T244/1000)*$E$248*$E$247*$E$249</f>
        <v>73507.5</v>
      </c>
      <c r="U249" s="136">
        <f t="shared" si="39"/>
        <v>75735</v>
      </c>
      <c r="V249" s="136">
        <f t="shared" si="39"/>
        <v>77962.5</v>
      </c>
      <c r="W249" s="136">
        <f t="shared" si="39"/>
        <v>80190</v>
      </c>
      <c r="X249" s="136">
        <f t="shared" si="39"/>
        <v>82417.5</v>
      </c>
      <c r="Y249" s="136">
        <f t="shared" si="39"/>
        <v>84645</v>
      </c>
      <c r="Z249" s="136">
        <f t="shared" si="39"/>
        <v>86872.5</v>
      </c>
      <c r="AA249" s="136">
        <f t="shared" si="39"/>
        <v>89100</v>
      </c>
      <c r="AB249" s="136">
        <f t="shared" si="39"/>
        <v>91327.50000000001</v>
      </c>
      <c r="AC249" s="136">
        <f t="shared" si="39"/>
        <v>93555.00000000001</v>
      </c>
      <c r="AD249" s="136">
        <f t="shared" si="39"/>
        <v>95782.50000000001</v>
      </c>
      <c r="AE249" s="136">
        <f t="shared" si="39"/>
        <v>98010.00000000004</v>
      </c>
    </row>
    <row r="250" spans="1:31" ht="13.5">
      <c r="A250" s="5"/>
      <c r="B250" s="12"/>
      <c r="C250" s="26"/>
      <c r="D250" s="48"/>
      <c r="E250" s="15"/>
      <c r="F250" s="30"/>
      <c r="G250" s="30"/>
      <c r="S250" s="136">
        <f>SUM(H249:S249)</f>
        <v>280800</v>
      </c>
      <c r="AE250" s="136">
        <f>SUM(T249:AE249)</f>
        <v>1029105</v>
      </c>
    </row>
    <row r="251" spans="1:7" ht="13.5">
      <c r="A251" s="24" t="s">
        <v>531</v>
      </c>
      <c r="B251" s="12"/>
      <c r="C251" s="26"/>
      <c r="D251" s="48"/>
      <c r="E251" s="15"/>
      <c r="F251" s="30"/>
      <c r="G251" s="30"/>
    </row>
    <row r="252" spans="1:7" ht="13.5">
      <c r="A252" s="16" t="s">
        <v>402</v>
      </c>
      <c r="B252" s="12"/>
      <c r="C252" s="26"/>
      <c r="D252" s="74">
        <v>4.5</v>
      </c>
      <c r="E252" s="75">
        <v>4.5</v>
      </c>
      <c r="F252" s="30" t="s">
        <v>530</v>
      </c>
      <c r="G252" s="30"/>
    </row>
    <row r="253" spans="1:31" ht="13.5">
      <c r="A253" s="16" t="s">
        <v>458</v>
      </c>
      <c r="B253" s="12"/>
      <c r="C253" s="26"/>
      <c r="D253" s="76">
        <v>0.2</v>
      </c>
      <c r="E253" s="69">
        <v>0.17</v>
      </c>
      <c r="F253" s="30"/>
      <c r="G253" s="30" t="s">
        <v>428</v>
      </c>
      <c r="H253" s="136">
        <f aca="true" t="shared" si="40" ref="H253:S253">(H244/1000)*$D$247*$D$252*$D$253</f>
        <v>540</v>
      </c>
      <c r="I253" s="136">
        <f t="shared" si="40"/>
        <v>1080</v>
      </c>
      <c r="J253" s="136">
        <f t="shared" si="40"/>
        <v>1620</v>
      </c>
      <c r="K253" s="136">
        <f t="shared" si="40"/>
        <v>2160</v>
      </c>
      <c r="L253" s="136">
        <f t="shared" si="40"/>
        <v>2700</v>
      </c>
      <c r="M253" s="136">
        <f t="shared" si="40"/>
        <v>3240</v>
      </c>
      <c r="N253" s="136">
        <f t="shared" si="40"/>
        <v>3780</v>
      </c>
      <c r="O253" s="136">
        <f t="shared" si="40"/>
        <v>4320</v>
      </c>
      <c r="P253" s="136">
        <f t="shared" si="40"/>
        <v>4860</v>
      </c>
      <c r="Q253" s="136">
        <f t="shared" si="40"/>
        <v>5400</v>
      </c>
      <c r="R253" s="136">
        <f t="shared" si="40"/>
        <v>5940</v>
      </c>
      <c r="S253" s="136">
        <f t="shared" si="40"/>
        <v>6480</v>
      </c>
      <c r="T253" s="136">
        <f aca="true" t="shared" si="41" ref="T253:AE253">(T244/1000)*$E$247*$E$252*$E$253</f>
        <v>8520.1875</v>
      </c>
      <c r="U253" s="136">
        <f t="shared" si="41"/>
        <v>8778.375</v>
      </c>
      <c r="V253" s="136">
        <f t="shared" si="41"/>
        <v>9036.5625</v>
      </c>
      <c r="W253" s="136">
        <f t="shared" si="41"/>
        <v>9294.75</v>
      </c>
      <c r="X253" s="136">
        <f t="shared" si="41"/>
        <v>9552.9375</v>
      </c>
      <c r="Y253" s="136">
        <f t="shared" si="41"/>
        <v>9811.125</v>
      </c>
      <c r="Z253" s="136">
        <f t="shared" si="41"/>
        <v>10069.3125</v>
      </c>
      <c r="AA253" s="136">
        <f t="shared" si="41"/>
        <v>10327.5</v>
      </c>
      <c r="AB253" s="136">
        <f t="shared" si="41"/>
        <v>10585.6875</v>
      </c>
      <c r="AC253" s="136">
        <f t="shared" si="41"/>
        <v>10843.875</v>
      </c>
      <c r="AD253" s="136">
        <f t="shared" si="41"/>
        <v>11102.0625</v>
      </c>
      <c r="AE253" s="136">
        <f t="shared" si="41"/>
        <v>11360.250000000004</v>
      </c>
    </row>
    <row r="254" spans="1:31" ht="13.5">
      <c r="A254" s="16"/>
      <c r="B254" s="12"/>
      <c r="C254" s="26"/>
      <c r="D254" s="48"/>
      <c r="E254" s="15"/>
      <c r="F254" s="30"/>
      <c r="G254" s="30"/>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row>
    <row r="255" spans="1:31" ht="13.5">
      <c r="A255" s="24" t="s">
        <v>532</v>
      </c>
      <c r="B255" s="12"/>
      <c r="C255" s="26"/>
      <c r="D255" s="48"/>
      <c r="E255" s="15"/>
      <c r="F255" s="30"/>
      <c r="G255" s="30"/>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row>
    <row r="256" spans="1:31" ht="13.5">
      <c r="A256" s="16" t="s">
        <v>402</v>
      </c>
      <c r="B256" s="12"/>
      <c r="C256" s="26"/>
      <c r="D256" s="74">
        <v>0.95</v>
      </c>
      <c r="E256" s="75">
        <v>0.95</v>
      </c>
      <c r="F256" s="30" t="s">
        <v>530</v>
      </c>
      <c r="G256" s="30"/>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row>
    <row r="257" spans="1:31" ht="13.5">
      <c r="A257" s="16" t="s">
        <v>458</v>
      </c>
      <c r="B257" s="12"/>
      <c r="C257" s="26"/>
      <c r="D257" s="76">
        <v>0.25</v>
      </c>
      <c r="E257" s="69">
        <v>0.23</v>
      </c>
      <c r="F257" s="30"/>
      <c r="G257" s="30" t="s">
        <v>429</v>
      </c>
      <c r="H257" s="136">
        <f aca="true" t="shared" si="42" ref="H257:S257">(H244/1000)*$D$247*$D$256*$D$257</f>
        <v>142.5</v>
      </c>
      <c r="I257" s="136">
        <f t="shared" si="42"/>
        <v>285</v>
      </c>
      <c r="J257" s="136">
        <f t="shared" si="42"/>
        <v>427.5</v>
      </c>
      <c r="K257" s="136">
        <f t="shared" si="42"/>
        <v>570</v>
      </c>
      <c r="L257" s="136">
        <f t="shared" si="42"/>
        <v>712.5</v>
      </c>
      <c r="M257" s="136">
        <f t="shared" si="42"/>
        <v>855</v>
      </c>
      <c r="N257" s="136">
        <f t="shared" si="42"/>
        <v>997.5</v>
      </c>
      <c r="O257" s="136">
        <f t="shared" si="42"/>
        <v>1140</v>
      </c>
      <c r="P257" s="136">
        <f t="shared" si="42"/>
        <v>1282.5</v>
      </c>
      <c r="Q257" s="136">
        <f t="shared" si="42"/>
        <v>1425</v>
      </c>
      <c r="R257" s="136">
        <f t="shared" si="42"/>
        <v>1567.5</v>
      </c>
      <c r="S257" s="136">
        <f t="shared" si="42"/>
        <v>1710</v>
      </c>
      <c r="T257" s="136">
        <f aca="true" t="shared" si="43" ref="T257:AE257">(T244/1000)*$E$247*$E$256*$E$257</f>
        <v>2433.5437500000003</v>
      </c>
      <c r="U257" s="136">
        <f t="shared" si="43"/>
        <v>2507.2875</v>
      </c>
      <c r="V257" s="136">
        <f t="shared" si="43"/>
        <v>2581.03125</v>
      </c>
      <c r="W257" s="136">
        <f t="shared" si="43"/>
        <v>2654.775</v>
      </c>
      <c r="X257" s="136">
        <f t="shared" si="43"/>
        <v>2728.51875</v>
      </c>
      <c r="Y257" s="136">
        <f t="shared" si="43"/>
        <v>2802.2625000000003</v>
      </c>
      <c r="Z257" s="136">
        <f t="shared" si="43"/>
        <v>2876.00625</v>
      </c>
      <c r="AA257" s="136">
        <f t="shared" si="43"/>
        <v>2949.75</v>
      </c>
      <c r="AB257" s="136">
        <f t="shared" si="43"/>
        <v>3023.49375</v>
      </c>
      <c r="AC257" s="136">
        <f t="shared" si="43"/>
        <v>3097.2375</v>
      </c>
      <c r="AD257" s="136">
        <f t="shared" si="43"/>
        <v>3170.9812500000003</v>
      </c>
      <c r="AE257" s="136">
        <f t="shared" si="43"/>
        <v>3244.725000000001</v>
      </c>
    </row>
    <row r="258" spans="1:31" ht="13.5">
      <c r="A258" s="5"/>
      <c r="B258" s="12"/>
      <c r="C258" s="26"/>
      <c r="D258" s="17"/>
      <c r="E258" s="18"/>
      <c r="F258" s="30"/>
      <c r="G258" s="30"/>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row>
    <row r="259" spans="1:31" ht="13.5">
      <c r="A259" s="24" t="s">
        <v>236</v>
      </c>
      <c r="B259" s="12"/>
      <c r="C259" s="26"/>
      <c r="D259" s="48"/>
      <c r="E259" s="15"/>
      <c r="F259" s="30"/>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row>
    <row r="260" spans="1:31" ht="13.5">
      <c r="A260" s="16" t="s">
        <v>367</v>
      </c>
      <c r="B260" s="12"/>
      <c r="C260" s="26"/>
      <c r="D260" s="66">
        <v>3</v>
      </c>
      <c r="E260" s="67">
        <v>3</v>
      </c>
      <c r="F260" s="30"/>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row>
    <row r="261" spans="1:31" ht="13.5">
      <c r="A261" s="16" t="s">
        <v>199</v>
      </c>
      <c r="B261" s="7"/>
      <c r="C261" s="26"/>
      <c r="D261" s="77">
        <v>0.2</v>
      </c>
      <c r="E261" s="81">
        <v>0.2</v>
      </c>
      <c r="F261" s="30" t="s">
        <v>530</v>
      </c>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row>
    <row r="262" spans="1:31" ht="13.5">
      <c r="A262" s="16" t="s">
        <v>256</v>
      </c>
      <c r="B262" s="2"/>
      <c r="C262" s="26"/>
      <c r="D262" s="82">
        <v>0.0036</v>
      </c>
      <c r="E262" s="83">
        <v>0.0036</v>
      </c>
      <c r="F262" s="30" t="s">
        <v>530</v>
      </c>
      <c r="G262" s="25" t="s">
        <v>430</v>
      </c>
      <c r="H262" s="136">
        <f aca="true" t="shared" si="44" ref="H262:S262">H244*$D$260*$D$261*$D$262</f>
        <v>432</v>
      </c>
      <c r="I262" s="136">
        <f t="shared" si="44"/>
        <v>864</v>
      </c>
      <c r="J262" s="136">
        <f t="shared" si="44"/>
        <v>1296</v>
      </c>
      <c r="K262" s="136">
        <f t="shared" si="44"/>
        <v>1728</v>
      </c>
      <c r="L262" s="136">
        <f t="shared" si="44"/>
        <v>2160</v>
      </c>
      <c r="M262" s="136">
        <f t="shared" si="44"/>
        <v>2592</v>
      </c>
      <c r="N262" s="136">
        <f t="shared" si="44"/>
        <v>3024</v>
      </c>
      <c r="O262" s="136">
        <f t="shared" si="44"/>
        <v>3456</v>
      </c>
      <c r="P262" s="136">
        <f t="shared" si="44"/>
        <v>3888</v>
      </c>
      <c r="Q262" s="136">
        <f t="shared" si="44"/>
        <v>4320</v>
      </c>
      <c r="R262" s="136">
        <f t="shared" si="44"/>
        <v>4752</v>
      </c>
      <c r="S262" s="136">
        <f t="shared" si="44"/>
        <v>5184</v>
      </c>
      <c r="T262" s="136">
        <f aca="true" t="shared" si="45" ref="T262:AE262">T244*$E$260*$E$261*$E$262</f>
        <v>8019</v>
      </c>
      <c r="U262" s="136">
        <f t="shared" si="45"/>
        <v>8262</v>
      </c>
      <c r="V262" s="136">
        <f t="shared" si="45"/>
        <v>8505</v>
      </c>
      <c r="W262" s="136">
        <f t="shared" si="45"/>
        <v>8748</v>
      </c>
      <c r="X262" s="136">
        <f t="shared" si="45"/>
        <v>8991</v>
      </c>
      <c r="Y262" s="136">
        <f t="shared" si="45"/>
        <v>9234</v>
      </c>
      <c r="Z262" s="136">
        <f t="shared" si="45"/>
        <v>9477</v>
      </c>
      <c r="AA262" s="136">
        <f t="shared" si="45"/>
        <v>9720</v>
      </c>
      <c r="AB262" s="136">
        <f t="shared" si="45"/>
        <v>9963</v>
      </c>
      <c r="AC262" s="136">
        <f t="shared" si="45"/>
        <v>10206</v>
      </c>
      <c r="AD262" s="136">
        <f t="shared" si="45"/>
        <v>10449</v>
      </c>
      <c r="AE262" s="136">
        <f t="shared" si="45"/>
        <v>10692.000000000004</v>
      </c>
    </row>
    <row r="263" spans="1:31" ht="13.5">
      <c r="A263" s="16"/>
      <c r="B263" s="2"/>
      <c r="C263" s="26"/>
      <c r="D263" s="2"/>
      <c r="E263" s="3"/>
      <c r="F263" s="30"/>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row>
    <row r="264" spans="1:31" ht="13.5">
      <c r="A264" s="24" t="s">
        <v>323</v>
      </c>
      <c r="B264" s="2"/>
      <c r="C264" s="26"/>
      <c r="D264" s="2"/>
      <c r="E264" s="3"/>
      <c r="F264" s="30"/>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row>
    <row r="265" spans="1:31" ht="13.5">
      <c r="A265" s="16" t="s">
        <v>244</v>
      </c>
      <c r="B265" s="48"/>
      <c r="C265" s="26"/>
      <c r="D265" s="84">
        <v>1500</v>
      </c>
      <c r="E265" s="85">
        <f>D265*1.05</f>
        <v>1575</v>
      </c>
      <c r="F265" s="30"/>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row>
    <row r="266" spans="1:31" ht="13.5">
      <c r="A266" s="16" t="s">
        <v>245</v>
      </c>
      <c r="B266" s="48"/>
      <c r="C266" s="26"/>
      <c r="D266" s="86">
        <v>5</v>
      </c>
      <c r="E266" s="87">
        <v>8</v>
      </c>
      <c r="F266" s="30"/>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row>
    <row r="267" spans="1:31" ht="13.5">
      <c r="A267" s="16" t="s">
        <v>248</v>
      </c>
      <c r="B267" s="48"/>
      <c r="C267" s="26"/>
      <c r="D267" s="86">
        <v>52</v>
      </c>
      <c r="E267" s="87">
        <v>52</v>
      </c>
      <c r="F267" s="30"/>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row>
    <row r="268" spans="1:31" ht="13.5">
      <c r="A268" s="16" t="s">
        <v>249</v>
      </c>
      <c r="B268" s="48"/>
      <c r="C268" s="26"/>
      <c r="D268" s="76">
        <v>0.5</v>
      </c>
      <c r="E268" s="69">
        <v>0.6</v>
      </c>
      <c r="F268" s="30"/>
      <c r="G268" s="25" t="s">
        <v>323</v>
      </c>
      <c r="H268" s="136">
        <f aca="true" t="shared" si="46" ref="H268:S268">($D$265*$D$266*$D$267*$D$268)/12</f>
        <v>16250</v>
      </c>
      <c r="I268" s="136">
        <f t="shared" si="46"/>
        <v>16250</v>
      </c>
      <c r="J268" s="136">
        <f t="shared" si="46"/>
        <v>16250</v>
      </c>
      <c r="K268" s="136">
        <f t="shared" si="46"/>
        <v>16250</v>
      </c>
      <c r="L268" s="136">
        <f t="shared" si="46"/>
        <v>16250</v>
      </c>
      <c r="M268" s="136">
        <f t="shared" si="46"/>
        <v>16250</v>
      </c>
      <c r="N268" s="136">
        <f t="shared" si="46"/>
        <v>16250</v>
      </c>
      <c r="O268" s="136">
        <f t="shared" si="46"/>
        <v>16250</v>
      </c>
      <c r="P268" s="136">
        <f t="shared" si="46"/>
        <v>16250</v>
      </c>
      <c r="Q268" s="136">
        <f t="shared" si="46"/>
        <v>16250</v>
      </c>
      <c r="R268" s="136">
        <f t="shared" si="46"/>
        <v>16250</v>
      </c>
      <c r="S268" s="136">
        <f t="shared" si="46"/>
        <v>16250</v>
      </c>
      <c r="T268" s="136">
        <f aca="true" t="shared" si="47" ref="T268:AE268">($E$265*$E$266*$E$267*$E$268)/12</f>
        <v>32760</v>
      </c>
      <c r="U268" s="136">
        <f t="shared" si="47"/>
        <v>32760</v>
      </c>
      <c r="V268" s="136">
        <f t="shared" si="47"/>
        <v>32760</v>
      </c>
      <c r="W268" s="136">
        <f t="shared" si="47"/>
        <v>32760</v>
      </c>
      <c r="X268" s="136">
        <f t="shared" si="47"/>
        <v>32760</v>
      </c>
      <c r="Y268" s="136">
        <f t="shared" si="47"/>
        <v>32760</v>
      </c>
      <c r="Z268" s="136">
        <f t="shared" si="47"/>
        <v>32760</v>
      </c>
      <c r="AA268" s="136">
        <f t="shared" si="47"/>
        <v>32760</v>
      </c>
      <c r="AB268" s="136">
        <f t="shared" si="47"/>
        <v>32760</v>
      </c>
      <c r="AC268" s="136">
        <f t="shared" si="47"/>
        <v>32760</v>
      </c>
      <c r="AD268" s="136">
        <f t="shared" si="47"/>
        <v>32760</v>
      </c>
      <c r="AE268" s="136">
        <f t="shared" si="47"/>
        <v>32760</v>
      </c>
    </row>
    <row r="269" spans="1:31" ht="13.5">
      <c r="A269" s="16"/>
      <c r="B269" s="17"/>
      <c r="C269" s="26"/>
      <c r="D269" s="17"/>
      <c r="E269" s="18"/>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row>
    <row r="270" spans="1:31" ht="15" thickBot="1">
      <c r="A270" s="19"/>
      <c r="B270" s="20"/>
      <c r="C270" s="20"/>
      <c r="D270" s="20"/>
      <c r="E270" s="21"/>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row>
    <row r="271" spans="8:31" ht="13.5">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row>
    <row r="272" spans="3:31" ht="13.5">
      <c r="C272" s="169" t="s">
        <v>196</v>
      </c>
      <c r="D272" s="169" t="s">
        <v>197</v>
      </c>
      <c r="E272" s="169" t="s">
        <v>198</v>
      </c>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row>
    <row r="273" spans="8:31" ht="13.5">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row>
    <row r="274" spans="1:31" ht="13.5">
      <c r="A274" s="25" t="s">
        <v>431</v>
      </c>
      <c r="D274" s="23">
        <f>SUM(H274:S274)</f>
        <v>843531</v>
      </c>
      <c r="E274" s="23">
        <f>AE275+AE277</f>
        <v>3560479.2375</v>
      </c>
      <c r="F274" s="182" t="s">
        <v>432</v>
      </c>
      <c r="H274" s="136">
        <f>SUM(H249:H268)</f>
        <v>20964.5</v>
      </c>
      <c r="I274" s="136">
        <f aca="true" t="shared" si="48" ref="I274:AE274">SUM(I249:I268)</f>
        <v>25679</v>
      </c>
      <c r="J274" s="136">
        <f t="shared" si="48"/>
        <v>30393.5</v>
      </c>
      <c r="K274" s="136">
        <f t="shared" si="48"/>
        <v>35108</v>
      </c>
      <c r="L274" s="136">
        <f t="shared" si="48"/>
        <v>39822.5</v>
      </c>
      <c r="M274" s="136">
        <f t="shared" si="48"/>
        <v>44537</v>
      </c>
      <c r="N274" s="136">
        <f t="shared" si="48"/>
        <v>49251.5</v>
      </c>
      <c r="O274" s="136">
        <f t="shared" si="48"/>
        <v>53966</v>
      </c>
      <c r="P274" s="136">
        <f t="shared" si="48"/>
        <v>58680.5</v>
      </c>
      <c r="Q274" s="136">
        <f t="shared" si="48"/>
        <v>63395</v>
      </c>
      <c r="R274" s="136">
        <f t="shared" si="48"/>
        <v>68109.5</v>
      </c>
      <c r="S274" s="136">
        <f t="shared" si="48"/>
        <v>353624</v>
      </c>
      <c r="T274" s="136">
        <f t="shared" si="48"/>
        <v>125240.23125</v>
      </c>
      <c r="U274" s="136">
        <f t="shared" si="48"/>
        <v>128042.6625</v>
      </c>
      <c r="V274" s="136">
        <f t="shared" si="48"/>
        <v>130845.09375</v>
      </c>
      <c r="W274" s="136">
        <f t="shared" si="48"/>
        <v>133647.525</v>
      </c>
      <c r="X274" s="136">
        <f t="shared" si="48"/>
        <v>136449.95625</v>
      </c>
      <c r="Y274" s="136">
        <f t="shared" si="48"/>
        <v>139252.3875</v>
      </c>
      <c r="Z274" s="136">
        <f t="shared" si="48"/>
        <v>142054.81875</v>
      </c>
      <c r="AA274" s="136">
        <f t="shared" si="48"/>
        <v>144857.25</v>
      </c>
      <c r="AB274" s="136">
        <f t="shared" si="48"/>
        <v>147659.68125000002</v>
      </c>
      <c r="AC274" s="136">
        <f t="shared" si="48"/>
        <v>150462.11250000002</v>
      </c>
      <c r="AD274" s="136">
        <f t="shared" si="48"/>
        <v>153264.54375</v>
      </c>
      <c r="AE274" s="136">
        <f t="shared" si="48"/>
        <v>1185171.975</v>
      </c>
    </row>
    <row r="275" spans="3:31" ht="13.5">
      <c r="C275" s="23"/>
      <c r="D275" s="23"/>
      <c r="E275" s="23"/>
      <c r="F275" s="182"/>
      <c r="H275" s="136"/>
      <c r="I275" s="136"/>
      <c r="J275" s="136"/>
      <c r="K275" s="136"/>
      <c r="L275" s="136"/>
      <c r="M275" s="136"/>
      <c r="N275" s="136"/>
      <c r="O275" s="136"/>
      <c r="P275" s="136"/>
      <c r="Q275" s="136"/>
      <c r="R275" s="136"/>
      <c r="S275" s="136">
        <f>SUM(H274:S274)</f>
        <v>843531</v>
      </c>
      <c r="T275" s="136"/>
      <c r="U275" s="136"/>
      <c r="V275" s="136"/>
      <c r="W275" s="136"/>
      <c r="X275" s="136"/>
      <c r="Y275" s="136"/>
      <c r="Z275" s="136"/>
      <c r="AA275" s="136"/>
      <c r="AB275" s="136"/>
      <c r="AC275" s="136"/>
      <c r="AD275" s="136"/>
      <c r="AE275" s="136">
        <f>SUM(T274:AE274)</f>
        <v>2716948.2375</v>
      </c>
    </row>
    <row r="276" spans="6:31" ht="13.5">
      <c r="F276" s="182" t="s">
        <v>433</v>
      </c>
      <c r="H276" s="136"/>
      <c r="I276" s="136"/>
      <c r="J276" s="136"/>
      <c r="K276" s="136"/>
      <c r="L276" s="136"/>
      <c r="M276" s="136"/>
      <c r="N276" s="136"/>
      <c r="O276" s="136"/>
      <c r="P276" s="136"/>
      <c r="Q276" s="136"/>
      <c r="R276" s="136"/>
      <c r="S276" s="136"/>
      <c r="T276" s="136">
        <f>H274</f>
        <v>20964.5</v>
      </c>
      <c r="U276" s="136">
        <f aca="true" t="shared" si="49" ref="U276:AE276">I274</f>
        <v>25679</v>
      </c>
      <c r="V276" s="136">
        <f t="shared" si="49"/>
        <v>30393.5</v>
      </c>
      <c r="W276" s="136">
        <f t="shared" si="49"/>
        <v>35108</v>
      </c>
      <c r="X276" s="136">
        <f t="shared" si="49"/>
        <v>39822.5</v>
      </c>
      <c r="Y276" s="136">
        <f t="shared" si="49"/>
        <v>44537</v>
      </c>
      <c r="Z276" s="136">
        <f t="shared" si="49"/>
        <v>49251.5</v>
      </c>
      <c r="AA276" s="136">
        <f t="shared" si="49"/>
        <v>53966</v>
      </c>
      <c r="AB276" s="136">
        <f t="shared" si="49"/>
        <v>58680.5</v>
      </c>
      <c r="AC276" s="136">
        <f t="shared" si="49"/>
        <v>63395</v>
      </c>
      <c r="AD276" s="136">
        <f t="shared" si="49"/>
        <v>68109.5</v>
      </c>
      <c r="AE276" s="136">
        <f t="shared" si="49"/>
        <v>353624</v>
      </c>
    </row>
    <row r="277" spans="6:31" ht="13.5">
      <c r="F277" s="182"/>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f>SUM(T276:AE276)</f>
        <v>843531</v>
      </c>
    </row>
    <row r="278" spans="6:31" ht="13.5">
      <c r="F278" s="182" t="s">
        <v>434</v>
      </c>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row>
    <row r="279" spans="8:31" ht="13.5">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row>
    <row r="280" spans="6:31" ht="13.5">
      <c r="F280" s="182" t="s">
        <v>435</v>
      </c>
      <c r="H280" s="136">
        <f>H249+H268</f>
        <v>19850</v>
      </c>
      <c r="I280" s="136">
        <f aca="true" t="shared" si="50" ref="I280:AE280">I249+I268</f>
        <v>23450</v>
      </c>
      <c r="J280" s="136">
        <f t="shared" si="50"/>
        <v>27050</v>
      </c>
      <c r="K280" s="136">
        <f t="shared" si="50"/>
        <v>30650</v>
      </c>
      <c r="L280" s="136">
        <f t="shared" si="50"/>
        <v>34250</v>
      </c>
      <c r="M280" s="136">
        <f t="shared" si="50"/>
        <v>37850</v>
      </c>
      <c r="N280" s="136">
        <f t="shared" si="50"/>
        <v>41450</v>
      </c>
      <c r="O280" s="136">
        <f t="shared" si="50"/>
        <v>45050</v>
      </c>
      <c r="P280" s="136">
        <f t="shared" si="50"/>
        <v>48650</v>
      </c>
      <c r="Q280" s="136">
        <f t="shared" si="50"/>
        <v>52250</v>
      </c>
      <c r="R280" s="136">
        <f t="shared" si="50"/>
        <v>55850</v>
      </c>
      <c r="S280" s="136">
        <f t="shared" si="50"/>
        <v>59450</v>
      </c>
      <c r="T280" s="136">
        <f t="shared" si="50"/>
        <v>106267.5</v>
      </c>
      <c r="U280" s="136">
        <f t="shared" si="50"/>
        <v>108495</v>
      </c>
      <c r="V280" s="136">
        <f t="shared" si="50"/>
        <v>110722.5</v>
      </c>
      <c r="W280" s="136">
        <f t="shared" si="50"/>
        <v>112950</v>
      </c>
      <c r="X280" s="136">
        <f t="shared" si="50"/>
        <v>115177.5</v>
      </c>
      <c r="Y280" s="136">
        <f t="shared" si="50"/>
        <v>117405</v>
      </c>
      <c r="Z280" s="136">
        <f t="shared" si="50"/>
        <v>119632.5</v>
      </c>
      <c r="AA280" s="136">
        <f t="shared" si="50"/>
        <v>121860</v>
      </c>
      <c r="AB280" s="136">
        <f t="shared" si="50"/>
        <v>124087.50000000001</v>
      </c>
      <c r="AC280" s="136">
        <f t="shared" si="50"/>
        <v>126315.00000000001</v>
      </c>
      <c r="AD280" s="136">
        <f t="shared" si="50"/>
        <v>128542.50000000001</v>
      </c>
      <c r="AE280" s="136">
        <f t="shared" si="50"/>
        <v>130770.00000000004</v>
      </c>
    </row>
    <row r="281" spans="8:31" ht="13.5">
      <c r="H281" s="136"/>
      <c r="I281" s="136"/>
      <c r="J281" s="136"/>
      <c r="K281" s="136"/>
      <c r="L281" s="136"/>
      <c r="M281" s="136"/>
      <c r="N281" s="136"/>
      <c r="O281" s="136"/>
      <c r="P281" s="136"/>
      <c r="Q281" s="136"/>
      <c r="R281" s="136"/>
      <c r="S281" s="136">
        <f>SUM(H280:S280)</f>
        <v>475800</v>
      </c>
      <c r="T281" s="136"/>
      <c r="U281" s="136"/>
      <c r="V281" s="136"/>
      <c r="W281" s="136"/>
      <c r="X281" s="136"/>
      <c r="Y281" s="136"/>
      <c r="Z281" s="136"/>
      <c r="AA281" s="136"/>
      <c r="AB281" s="136"/>
      <c r="AC281" s="136"/>
      <c r="AD281" s="136"/>
      <c r="AE281" s="136">
        <f>SUM(T280:AE280)</f>
        <v>1422225</v>
      </c>
    </row>
    <row r="282" spans="6:31" ht="13.5">
      <c r="F282" s="182" t="s">
        <v>24</v>
      </c>
      <c r="H282" s="136">
        <f>H249+H253+H257+H262</f>
        <v>4714.5</v>
      </c>
      <c r="I282" s="136">
        <f aca="true" t="shared" si="51" ref="I282:AE282">I249+I253+I257+I262</f>
        <v>9429</v>
      </c>
      <c r="J282" s="136">
        <f t="shared" si="51"/>
        <v>14143.5</v>
      </c>
      <c r="K282" s="136">
        <f t="shared" si="51"/>
        <v>18858</v>
      </c>
      <c r="L282" s="136">
        <f t="shared" si="51"/>
        <v>23572.5</v>
      </c>
      <c r="M282" s="136">
        <f t="shared" si="51"/>
        <v>28287</v>
      </c>
      <c r="N282" s="136">
        <f t="shared" si="51"/>
        <v>33001.5</v>
      </c>
      <c r="O282" s="136">
        <f t="shared" si="51"/>
        <v>37716</v>
      </c>
      <c r="P282" s="136">
        <f t="shared" si="51"/>
        <v>42430.5</v>
      </c>
      <c r="Q282" s="136">
        <f t="shared" si="51"/>
        <v>47145</v>
      </c>
      <c r="R282" s="136">
        <f t="shared" si="51"/>
        <v>51859.5</v>
      </c>
      <c r="S282" s="136">
        <f t="shared" si="51"/>
        <v>56574</v>
      </c>
      <c r="T282" s="136">
        <f t="shared" si="51"/>
        <v>92480.23125</v>
      </c>
      <c r="U282" s="136">
        <f t="shared" si="51"/>
        <v>95282.6625</v>
      </c>
      <c r="V282" s="136">
        <f t="shared" si="51"/>
        <v>98085.09375</v>
      </c>
      <c r="W282" s="136">
        <f t="shared" si="51"/>
        <v>100887.525</v>
      </c>
      <c r="X282" s="136">
        <f t="shared" si="51"/>
        <v>103689.95625</v>
      </c>
      <c r="Y282" s="136">
        <f t="shared" si="51"/>
        <v>106492.3875</v>
      </c>
      <c r="Z282" s="136">
        <f t="shared" si="51"/>
        <v>109294.81875</v>
      </c>
      <c r="AA282" s="136">
        <f t="shared" si="51"/>
        <v>112097.25</v>
      </c>
      <c r="AB282" s="136">
        <f t="shared" si="51"/>
        <v>114899.68125000001</v>
      </c>
      <c r="AC282" s="136">
        <f t="shared" si="51"/>
        <v>117702.11250000002</v>
      </c>
      <c r="AD282" s="136">
        <f t="shared" si="51"/>
        <v>120504.54375000001</v>
      </c>
      <c r="AE282" s="136">
        <f t="shared" si="51"/>
        <v>123306.97500000005</v>
      </c>
    </row>
    <row r="283" spans="8:31" ht="13.5">
      <c r="H283" s="136"/>
      <c r="I283" s="136"/>
      <c r="J283" s="136"/>
      <c r="K283" s="136"/>
      <c r="L283" s="136"/>
      <c r="M283" s="136"/>
      <c r="N283" s="136"/>
      <c r="O283" s="136"/>
      <c r="P283" s="136"/>
      <c r="Q283" s="136"/>
      <c r="R283" s="136"/>
      <c r="S283" s="136">
        <f>SUM(H282:S282)</f>
        <v>367731</v>
      </c>
      <c r="T283" s="136"/>
      <c r="U283" s="136"/>
      <c r="V283" s="136"/>
      <c r="W283" s="136"/>
      <c r="X283" s="136"/>
      <c r="Y283" s="136"/>
      <c r="Z283" s="136"/>
      <c r="AA283" s="136"/>
      <c r="AB283" s="136"/>
      <c r="AC283" s="136"/>
      <c r="AD283" s="136"/>
      <c r="AE283" s="136">
        <f>SUM(T282:AE282)</f>
        <v>1294723.2375</v>
      </c>
    </row>
    <row r="284" spans="8:43" ht="13.5">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row>
    <row r="285" spans="1:43" ht="13.5">
      <c r="A285" s="99" t="s">
        <v>104</v>
      </c>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row>
    <row r="286" spans="1:43" ht="13.5">
      <c r="A286" s="99"/>
      <c r="B286" s="25" t="s">
        <v>105</v>
      </c>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row>
    <row r="287" spans="1:43" ht="13.5">
      <c r="A287" s="99"/>
      <c r="B287" s="164" t="s">
        <v>106</v>
      </c>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row>
    <row r="288" spans="8:43" ht="15" thickBot="1">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row>
    <row r="289" spans="1:43" ht="13.5">
      <c r="A289" s="70" t="s">
        <v>408</v>
      </c>
      <c r="B289" s="71"/>
      <c r="C289" s="71"/>
      <c r="D289" s="71"/>
      <c r="E289" s="330"/>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row>
    <row r="290" spans="1:43" ht="13.5">
      <c r="A290" s="16"/>
      <c r="B290" s="48"/>
      <c r="C290" s="55" t="s">
        <v>196</v>
      </c>
      <c r="D290" s="55" t="s">
        <v>197</v>
      </c>
      <c r="E290" s="130" t="s">
        <v>198</v>
      </c>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row>
    <row r="291" spans="1:43" ht="13.5">
      <c r="A291" s="16"/>
      <c r="B291" s="17" t="s">
        <v>585</v>
      </c>
      <c r="C291" s="11"/>
      <c r="D291" s="11">
        <f>'Revenue - Website'!D16</f>
        <v>5000000</v>
      </c>
      <c r="E291" s="166">
        <f>'Revenue - Website'!E16</f>
        <v>5000000</v>
      </c>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row>
    <row r="292" spans="1:43" ht="13.5">
      <c r="A292" s="16"/>
      <c r="B292" s="17" t="s">
        <v>107</v>
      </c>
      <c r="C292" s="11"/>
      <c r="D292" s="76">
        <v>0.5</v>
      </c>
      <c r="E292" s="69">
        <v>0.5</v>
      </c>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row>
    <row r="293" spans="1:43" ht="13.5">
      <c r="A293" s="16"/>
      <c r="B293" s="17"/>
      <c r="C293" s="11"/>
      <c r="D293" s="11"/>
      <c r="E293" s="16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row>
    <row r="294" spans="1:43" ht="13.5">
      <c r="A294" s="16"/>
      <c r="B294" s="17" t="s">
        <v>108</v>
      </c>
      <c r="C294" s="11"/>
      <c r="D294" s="76">
        <v>0.01</v>
      </c>
      <c r="E294" s="334">
        <v>0.005</v>
      </c>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row>
    <row r="295" spans="1:43" ht="13.5">
      <c r="A295" s="16"/>
      <c r="B295" s="17" t="s">
        <v>109</v>
      </c>
      <c r="C295" s="11"/>
      <c r="D295" s="11">
        <f>D291*D292*D294</f>
        <v>25000</v>
      </c>
      <c r="E295" s="166">
        <f>E291*E292*E294</f>
        <v>12500</v>
      </c>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row>
    <row r="296" spans="1:43" ht="13.5">
      <c r="A296" s="16"/>
      <c r="B296" s="17"/>
      <c r="C296" s="11"/>
      <c r="D296" s="11"/>
      <c r="E296" s="16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row>
    <row r="297" spans="1:43" ht="13.5">
      <c r="A297" s="16"/>
      <c r="B297" s="17" t="s">
        <v>110</v>
      </c>
      <c r="C297" s="11"/>
      <c r="D297" s="11"/>
      <c r="E297" s="340">
        <v>0.01</v>
      </c>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row>
    <row r="298" spans="1:43" ht="13.5">
      <c r="A298" s="16"/>
      <c r="B298" s="17" t="s">
        <v>111</v>
      </c>
      <c r="C298" s="11"/>
      <c r="D298" s="11"/>
      <c r="E298" s="166">
        <f>E291*E292*E297</f>
        <v>25000</v>
      </c>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row>
    <row r="299" spans="1:43" ht="13.5">
      <c r="A299" s="16"/>
      <c r="B299" s="17"/>
      <c r="C299" s="11"/>
      <c r="D299" s="11"/>
      <c r="E299" s="16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row>
    <row r="300" spans="1:43" ht="13.5">
      <c r="A300" s="16"/>
      <c r="B300" s="17" t="s">
        <v>112</v>
      </c>
      <c r="C300" s="11"/>
      <c r="D300" s="86">
        <v>1</v>
      </c>
      <c r="E300" s="87">
        <v>2</v>
      </c>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row>
    <row r="301" spans="1:43" ht="13.5">
      <c r="A301" s="16"/>
      <c r="B301" s="17"/>
      <c r="C301" s="11"/>
      <c r="D301" s="183"/>
      <c r="E301" s="184"/>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row>
    <row r="302" spans="1:43" ht="13.5">
      <c r="A302" s="179"/>
      <c r="B302" s="17" t="s">
        <v>113</v>
      </c>
      <c r="C302" s="11"/>
      <c r="D302" s="74">
        <v>1.99</v>
      </c>
      <c r="E302" s="75">
        <v>1.99</v>
      </c>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row>
    <row r="303" spans="1:43" ht="13.5">
      <c r="A303" s="16"/>
      <c r="B303" s="17"/>
      <c r="C303" s="17"/>
      <c r="D303" s="17"/>
      <c r="E303" s="18"/>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row>
    <row r="304" spans="1:43" ht="15" thickBot="1">
      <c r="A304" s="19"/>
      <c r="B304" s="20"/>
      <c r="C304" s="20"/>
      <c r="D304" s="20"/>
      <c r="E304" s="21"/>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row>
    <row r="305" spans="8:43" ht="13.5">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row>
    <row r="306" spans="3:43" ht="13.5">
      <c r="C306" s="169" t="s">
        <v>196</v>
      </c>
      <c r="D306" s="169" t="s">
        <v>197</v>
      </c>
      <c r="E306" s="169" t="s">
        <v>198</v>
      </c>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row>
    <row r="307" spans="1:43" ht="13.5">
      <c r="A307" s="99"/>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row>
    <row r="308" spans="1:43" ht="13.5">
      <c r="A308" s="25" t="s">
        <v>510</v>
      </c>
      <c r="C308" s="23"/>
      <c r="D308" s="23">
        <f>D295*D300*D302</f>
        <v>49750</v>
      </c>
      <c r="E308" s="23">
        <f>((E300-D300)*E298*E302)+(D300*E295*E302)</f>
        <v>74625</v>
      </c>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row>
    <row r="309" spans="8:43" ht="13.5">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row>
    <row r="310" spans="8:43" ht="13.5">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row>
    <row r="311" spans="8:43" ht="13.5">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row>
    <row r="312" ht="13.5">
      <c r="A312" s="99" t="s">
        <v>114</v>
      </c>
    </row>
    <row r="313" spans="1:2" ht="13.5">
      <c r="A313" s="99"/>
      <c r="B313" s="164" t="s">
        <v>115</v>
      </c>
    </row>
    <row r="314" spans="1:2" ht="13.5">
      <c r="A314" s="99"/>
      <c r="B314" s="164" t="s">
        <v>116</v>
      </c>
    </row>
    <row r="315" spans="1:2" ht="13.5">
      <c r="A315" s="99"/>
      <c r="B315" s="164" t="s">
        <v>117</v>
      </c>
    </row>
    <row r="316" spans="1:2" ht="13.5">
      <c r="A316" s="99"/>
      <c r="B316" s="164" t="s">
        <v>118</v>
      </c>
    </row>
    <row r="317" ht="15" thickBot="1"/>
    <row r="318" spans="1:5" ht="13.5">
      <c r="A318" s="70" t="s">
        <v>408</v>
      </c>
      <c r="B318" s="71"/>
      <c r="C318" s="71"/>
      <c r="D318" s="71"/>
      <c r="E318" s="330"/>
    </row>
    <row r="319" spans="1:5" ht="13.5">
      <c r="A319" s="16"/>
      <c r="B319" s="48"/>
      <c r="C319" s="55" t="s">
        <v>196</v>
      </c>
      <c r="D319" s="55" t="s">
        <v>197</v>
      </c>
      <c r="E319" s="130" t="s">
        <v>198</v>
      </c>
    </row>
    <row r="320" spans="1:43" ht="13.5">
      <c r="A320" s="16"/>
      <c r="B320" s="48" t="s">
        <v>585</v>
      </c>
      <c r="C320" s="11"/>
      <c r="D320" s="11">
        <f>'Revenue - Website'!D16</f>
        <v>5000000</v>
      </c>
      <c r="E320" s="166">
        <f>'Revenue - Website'!E16</f>
        <v>5000000</v>
      </c>
      <c r="F320" s="182"/>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row>
    <row r="321" spans="1:6" ht="13.5">
      <c r="A321" s="16"/>
      <c r="B321" s="26" t="s">
        <v>119</v>
      </c>
      <c r="C321" s="17"/>
      <c r="D321" s="333">
        <v>0.001</v>
      </c>
      <c r="E321" s="334">
        <v>0.002</v>
      </c>
      <c r="F321" s="188"/>
    </row>
    <row r="322" spans="1:5" ht="13.5">
      <c r="A322" s="16"/>
      <c r="B322" s="26" t="s">
        <v>120</v>
      </c>
      <c r="C322" s="17"/>
      <c r="D322" s="76">
        <v>0.25</v>
      </c>
      <c r="E322" s="69">
        <v>0.25</v>
      </c>
    </row>
    <row r="323" spans="1:5" ht="13.5">
      <c r="A323" s="16"/>
      <c r="B323" s="26"/>
      <c r="C323" s="17"/>
      <c r="D323" s="17"/>
      <c r="E323" s="18"/>
    </row>
    <row r="324" spans="1:43" ht="13.5">
      <c r="A324" s="16"/>
      <c r="B324" s="48" t="s">
        <v>121</v>
      </c>
      <c r="C324" s="17"/>
      <c r="D324" s="74">
        <v>10</v>
      </c>
      <c r="E324" s="75">
        <v>10</v>
      </c>
      <c r="F324" s="189"/>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row>
    <row r="325" spans="1:6" ht="13.5">
      <c r="A325" s="16"/>
      <c r="B325" s="17"/>
      <c r="C325" s="17"/>
      <c r="D325" s="11"/>
      <c r="E325" s="166"/>
      <c r="F325" s="48"/>
    </row>
    <row r="326" spans="1:43" ht="13.5">
      <c r="A326" s="16"/>
      <c r="B326" s="48" t="s">
        <v>122</v>
      </c>
      <c r="C326" s="17"/>
      <c r="D326" s="86">
        <v>200</v>
      </c>
      <c r="E326" s="87">
        <v>300</v>
      </c>
      <c r="F326" s="190"/>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row>
    <row r="327" spans="1:5" ht="13.5">
      <c r="A327" s="16"/>
      <c r="B327" s="26"/>
      <c r="C327" s="17"/>
      <c r="D327" s="23"/>
      <c r="E327" s="112"/>
    </row>
    <row r="328" spans="1:43" ht="13.5">
      <c r="A328" s="16"/>
      <c r="B328" s="48" t="s">
        <v>123</v>
      </c>
      <c r="C328" s="17"/>
      <c r="D328" s="84">
        <v>500</v>
      </c>
      <c r="E328" s="85">
        <v>500</v>
      </c>
      <c r="F328" s="182"/>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row>
    <row r="329" spans="1:5" ht="13.5">
      <c r="A329" s="16"/>
      <c r="B329" s="26"/>
      <c r="C329" s="11"/>
      <c r="D329" s="11"/>
      <c r="E329" s="166"/>
    </row>
    <row r="330" spans="1:5" ht="15" thickBot="1">
      <c r="A330" s="19"/>
      <c r="B330" s="20"/>
      <c r="C330" s="20"/>
      <c r="D330" s="20"/>
      <c r="E330" s="21"/>
    </row>
    <row r="332" spans="3:5" ht="13.5">
      <c r="C332" s="169" t="s">
        <v>196</v>
      </c>
      <c r="D332" s="169" t="s">
        <v>197</v>
      </c>
      <c r="E332" s="169" t="s">
        <v>198</v>
      </c>
    </row>
    <row r="334" spans="1:43" ht="13.5">
      <c r="A334" s="25" t="s">
        <v>511</v>
      </c>
      <c r="C334" s="23"/>
      <c r="D334" s="23">
        <f>D335+D336</f>
        <v>112500</v>
      </c>
      <c r="E334" s="23">
        <f>E335+E336</f>
        <v>175000</v>
      </c>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row>
    <row r="335" spans="2:43" ht="13.5">
      <c r="B335" s="25" t="s">
        <v>25</v>
      </c>
      <c r="C335" s="23"/>
      <c r="D335" s="23">
        <f>(D320*D321*D322)*D324</f>
        <v>12500</v>
      </c>
      <c r="E335" s="23">
        <f>(E320*E321*E322)*E324</f>
        <v>25000</v>
      </c>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row>
    <row r="336" spans="2:43" ht="13.5">
      <c r="B336" s="25" t="s">
        <v>55</v>
      </c>
      <c r="C336" s="23"/>
      <c r="D336" s="23">
        <f>(D326*D328)</f>
        <v>100000</v>
      </c>
      <c r="E336" s="23">
        <f>(E326*E328)</f>
        <v>150000</v>
      </c>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AR275"/>
  <sheetViews>
    <sheetView zoomScale="110" zoomScaleNormal="110" workbookViewId="0" topLeftCell="A1">
      <selection activeCell="D87" sqref="D87"/>
    </sheetView>
  </sheetViews>
  <sheetFormatPr defaultColWidth="8.8515625" defaultRowHeight="12.75"/>
  <cols>
    <col min="1" max="1" width="4.28125" style="25" customWidth="1"/>
    <col min="2" max="2" width="3.7109375" style="25" customWidth="1"/>
    <col min="3" max="3" width="31.7109375" style="25" customWidth="1"/>
    <col min="4" max="5" width="11.8515625" style="25" customWidth="1"/>
    <col min="6" max="6" width="13.28125" style="25" customWidth="1"/>
    <col min="7" max="7" width="12.8515625" style="25" customWidth="1"/>
    <col min="8" max="8" width="1.7109375" style="25" customWidth="1"/>
    <col min="9" max="9" width="11.00390625" style="25" customWidth="1"/>
    <col min="10" max="14" width="12.140625" style="25" customWidth="1"/>
    <col min="15" max="44" width="13.7109375" style="25" customWidth="1"/>
    <col min="45" max="16384" width="8.8515625" style="25" customWidth="1"/>
  </cols>
  <sheetData>
    <row r="1" ht="15" thickBot="1">
      <c r="A1" s="26"/>
    </row>
    <row r="2" spans="1:10" ht="13.5">
      <c r="A2" s="48"/>
      <c r="B2" s="270" t="s">
        <v>60</v>
      </c>
      <c r="C2" s="231"/>
      <c r="D2" s="327" t="s">
        <v>196</v>
      </c>
      <c r="E2" s="327" t="s">
        <v>197</v>
      </c>
      <c r="F2" s="327" t="s">
        <v>198</v>
      </c>
      <c r="G2" s="327" t="s">
        <v>207</v>
      </c>
      <c r="H2" s="231"/>
      <c r="I2" s="231"/>
      <c r="J2" s="232"/>
    </row>
    <row r="3" spans="1:10" ht="13.5">
      <c r="A3" s="48"/>
      <c r="B3" s="32"/>
      <c r="C3" s="26"/>
      <c r="D3" s="26"/>
      <c r="E3" s="26"/>
      <c r="F3" s="26"/>
      <c r="G3" s="26"/>
      <c r="H3" s="26"/>
      <c r="I3" s="26"/>
      <c r="J3" s="108"/>
    </row>
    <row r="4" spans="1:10" ht="13.5">
      <c r="A4" s="48"/>
      <c r="B4" s="32" t="s">
        <v>262</v>
      </c>
      <c r="C4" s="26"/>
      <c r="D4" s="153">
        <f>D47</f>
        <v>5000</v>
      </c>
      <c r="E4" s="153">
        <f>E47</f>
        <v>0</v>
      </c>
      <c r="F4" s="153">
        <f>F47</f>
        <v>0</v>
      </c>
      <c r="G4" s="26" t="str">
        <f>'Revenue - B-to-C'!F4</f>
        <v>year 1 launch</v>
      </c>
      <c r="H4" s="26"/>
      <c r="I4" s="26"/>
      <c r="J4" s="108"/>
    </row>
    <row r="5" spans="1:10" ht="13.5">
      <c r="A5" s="48"/>
      <c r="B5" s="32"/>
      <c r="C5" s="26"/>
      <c r="D5" s="26"/>
      <c r="E5" s="26"/>
      <c r="F5" s="26"/>
      <c r="G5" s="26"/>
      <c r="H5" s="26"/>
      <c r="I5" s="26"/>
      <c r="J5" s="108"/>
    </row>
    <row r="6" spans="1:10" ht="13.5">
      <c r="A6" s="48"/>
      <c r="B6" s="32" t="s">
        <v>263</v>
      </c>
      <c r="C6" s="26"/>
      <c r="D6" s="23">
        <f>D73</f>
        <v>195350</v>
      </c>
      <c r="E6" s="23">
        <f>E73</f>
        <v>254550</v>
      </c>
      <c r="F6" s="23">
        <f>F73</f>
        <v>255322.5</v>
      </c>
      <c r="G6" s="26" t="str">
        <f>'Revenue - B-to-C'!F6</f>
        <v>year 1 launch</v>
      </c>
      <c r="H6" s="26"/>
      <c r="I6" s="26"/>
      <c r="J6" s="108"/>
    </row>
    <row r="7" spans="1:10" ht="13.5">
      <c r="A7" s="48"/>
      <c r="B7" s="32"/>
      <c r="C7" s="26"/>
      <c r="D7" s="37"/>
      <c r="E7" s="37"/>
      <c r="F7" s="37"/>
      <c r="G7" s="26"/>
      <c r="H7" s="26"/>
      <c r="I7" s="26"/>
      <c r="J7" s="108"/>
    </row>
    <row r="8" spans="1:10" ht="13.5">
      <c r="A8" s="48"/>
      <c r="B8" s="32" t="s">
        <v>264</v>
      </c>
      <c r="C8" s="156"/>
      <c r="D8" s="23">
        <f>D98</f>
        <v>117500</v>
      </c>
      <c r="E8" s="23">
        <f>E98</f>
        <v>186500</v>
      </c>
      <c r="F8" s="23">
        <f>F98</f>
        <v>220345</v>
      </c>
      <c r="G8" s="26" t="str">
        <f>'Revenue - B-to-C'!F8</f>
        <v>year 1 launch</v>
      </c>
      <c r="H8" s="26"/>
      <c r="I8" s="26"/>
      <c r="J8" s="108"/>
    </row>
    <row r="9" spans="1:10" ht="13.5">
      <c r="A9" s="48"/>
      <c r="B9" s="32"/>
      <c r="C9" s="156"/>
      <c r="D9" s="26"/>
      <c r="E9" s="26"/>
      <c r="F9" s="26"/>
      <c r="G9" s="26"/>
      <c r="H9" s="26"/>
      <c r="I9" s="26"/>
      <c r="J9" s="108"/>
    </row>
    <row r="10" spans="1:10" ht="13.5">
      <c r="A10" s="48"/>
      <c r="B10" s="32" t="s">
        <v>390</v>
      </c>
      <c r="C10" s="26"/>
      <c r="D10" s="23">
        <f>D117</f>
        <v>8000</v>
      </c>
      <c r="E10" s="23">
        <f>E117</f>
        <v>3000</v>
      </c>
      <c r="F10" s="23">
        <f>F117</f>
        <v>3000</v>
      </c>
      <c r="G10" s="26" t="str">
        <f>'Revenue - B-to-C'!F10</f>
        <v>year 1 launch</v>
      </c>
      <c r="H10" s="26"/>
      <c r="I10" s="26"/>
      <c r="J10" s="108"/>
    </row>
    <row r="11" spans="1:10" ht="13.5">
      <c r="A11" s="48"/>
      <c r="B11" s="32"/>
      <c r="C11" s="26"/>
      <c r="D11" s="23"/>
      <c r="E11" s="23"/>
      <c r="F11" s="23"/>
      <c r="G11" s="26"/>
      <c r="H11" s="26"/>
      <c r="I11" s="26"/>
      <c r="J11" s="108"/>
    </row>
    <row r="12" spans="1:10" ht="13.5">
      <c r="A12" s="48"/>
      <c r="B12" s="32" t="s">
        <v>391</v>
      </c>
      <c r="C12" s="26"/>
      <c r="D12" s="23">
        <f>D135</f>
        <v>2000</v>
      </c>
      <c r="E12" s="23">
        <f>E135</f>
        <v>0</v>
      </c>
      <c r="F12" s="23">
        <f>F135</f>
        <v>0</v>
      </c>
      <c r="G12" s="26" t="str">
        <f>'Revenue - B-to-C'!F12</f>
        <v>year 1 launch</v>
      </c>
      <c r="H12" s="26"/>
      <c r="I12" s="26"/>
      <c r="J12" s="108"/>
    </row>
    <row r="13" spans="1:10" ht="13.5">
      <c r="A13" s="48"/>
      <c r="B13" s="32"/>
      <c r="C13" s="26"/>
      <c r="D13" s="23"/>
      <c r="E13" s="23"/>
      <c r="F13" s="23"/>
      <c r="G13" s="26"/>
      <c r="H13" s="26"/>
      <c r="I13" s="26"/>
      <c r="J13" s="108"/>
    </row>
    <row r="14" spans="1:10" ht="13.5">
      <c r="A14" s="48"/>
      <c r="B14" s="32" t="s">
        <v>392</v>
      </c>
      <c r="C14" s="26"/>
      <c r="D14" s="23">
        <f>D151</f>
        <v>0</v>
      </c>
      <c r="E14" s="23">
        <f>E151</f>
        <v>0</v>
      </c>
      <c r="F14" s="23">
        <f>F151</f>
        <v>0</v>
      </c>
      <c r="G14" s="26" t="str">
        <f>'Revenue - B-to-C'!F14</f>
        <v>year 1 launch</v>
      </c>
      <c r="H14" s="26"/>
      <c r="I14" s="26"/>
      <c r="J14" s="108"/>
    </row>
    <row r="15" spans="1:10" ht="13.5">
      <c r="A15" s="48"/>
      <c r="B15" s="32"/>
      <c r="C15" s="26"/>
      <c r="D15" s="23"/>
      <c r="E15" s="23"/>
      <c r="F15" s="23"/>
      <c r="G15" s="26"/>
      <c r="H15" s="26"/>
      <c r="I15" s="26"/>
      <c r="J15" s="108"/>
    </row>
    <row r="16" spans="1:10" ht="13.5">
      <c r="A16" s="48"/>
      <c r="B16" s="32" t="s">
        <v>393</v>
      </c>
      <c r="C16" s="26"/>
      <c r="D16" s="23">
        <f>D175</f>
        <v>0</v>
      </c>
      <c r="E16" s="23">
        <f>E175</f>
        <v>70018.75</v>
      </c>
      <c r="F16" s="23">
        <f>F175</f>
        <v>67969.3125</v>
      </c>
      <c r="G16" s="26" t="str">
        <f>'Revenue - B-to-C'!F16</f>
        <v>year 2 launch</v>
      </c>
      <c r="H16" s="26"/>
      <c r="I16" s="26"/>
      <c r="J16" s="108"/>
    </row>
    <row r="17" spans="1:10" ht="13.5">
      <c r="A17" s="48"/>
      <c r="B17" s="32"/>
      <c r="C17" s="156"/>
      <c r="D17" s="26"/>
      <c r="E17" s="26"/>
      <c r="F17" s="26"/>
      <c r="G17" s="26"/>
      <c r="H17" s="26"/>
      <c r="I17" s="26"/>
      <c r="J17" s="108"/>
    </row>
    <row r="18" spans="1:10" ht="13.5">
      <c r="A18" s="48"/>
      <c r="B18" s="32" t="s">
        <v>394</v>
      </c>
      <c r="C18" s="26"/>
      <c r="D18" s="23">
        <f>D193</f>
        <v>0</v>
      </c>
      <c r="E18" s="23">
        <f>E193</f>
        <v>5000</v>
      </c>
      <c r="F18" s="23">
        <f>F193</f>
        <v>0</v>
      </c>
      <c r="G18" s="26" t="str">
        <f>'Revenue - B-to-C'!F18</f>
        <v>year 2 launch</v>
      </c>
      <c r="H18" s="26"/>
      <c r="I18" s="26"/>
      <c r="J18" s="108"/>
    </row>
    <row r="19" spans="1:10" ht="13.5">
      <c r="A19" s="48"/>
      <c r="B19" s="32"/>
      <c r="C19" s="26"/>
      <c r="D19" s="23"/>
      <c r="E19" s="23"/>
      <c r="F19" s="23"/>
      <c r="G19" s="26"/>
      <c r="H19" s="26"/>
      <c r="I19" s="26"/>
      <c r="J19" s="108"/>
    </row>
    <row r="20" spans="1:10" ht="13.5">
      <c r="A20" s="48"/>
      <c r="B20" s="32" t="s">
        <v>509</v>
      </c>
      <c r="C20" s="26"/>
      <c r="D20" s="23">
        <f>D235</f>
        <v>0</v>
      </c>
      <c r="E20" s="23">
        <f>E235</f>
        <v>1124988.875</v>
      </c>
      <c r="F20" s="23">
        <f>F235</f>
        <v>2740998.4546875</v>
      </c>
      <c r="G20" s="26" t="str">
        <f>'Revenue - B-to-C'!F20</f>
        <v>year 2 launch</v>
      </c>
      <c r="H20" s="26"/>
      <c r="I20" s="26"/>
      <c r="J20" s="108"/>
    </row>
    <row r="21" spans="1:10" ht="13.5">
      <c r="A21" s="48"/>
      <c r="B21" s="32"/>
      <c r="C21" s="156"/>
      <c r="D21" s="26"/>
      <c r="E21" s="26"/>
      <c r="F21" s="26"/>
      <c r="G21" s="26"/>
      <c r="H21" s="26"/>
      <c r="I21" s="26"/>
      <c r="J21" s="108"/>
    </row>
    <row r="22" spans="1:10" ht="13.5">
      <c r="A22" s="48"/>
      <c r="B22" s="32" t="s">
        <v>510</v>
      </c>
      <c r="C22" s="156"/>
      <c r="D22" s="153">
        <f>D251</f>
        <v>0</v>
      </c>
      <c r="E22" s="153">
        <f>E251</f>
        <v>35000</v>
      </c>
      <c r="F22" s="153">
        <f>F251</f>
        <v>10000</v>
      </c>
      <c r="G22" s="26" t="str">
        <f>'Revenue - B-to-C'!F22</f>
        <v>year 2 launch</v>
      </c>
      <c r="H22" s="26"/>
      <c r="I22" s="26"/>
      <c r="J22" s="108"/>
    </row>
    <row r="23" spans="1:10" ht="13.5">
      <c r="A23" s="48"/>
      <c r="B23" s="32"/>
      <c r="C23" s="156"/>
      <c r="D23" s="26"/>
      <c r="E23" s="26"/>
      <c r="F23" s="26"/>
      <c r="G23" s="26"/>
      <c r="H23" s="26"/>
      <c r="I23" s="26"/>
      <c r="J23" s="108"/>
    </row>
    <row r="24" spans="1:10" ht="13.5">
      <c r="A24" s="48"/>
      <c r="B24" s="32" t="s">
        <v>511</v>
      </c>
      <c r="C24" s="26"/>
      <c r="D24" s="23">
        <f>D269</f>
        <v>0</v>
      </c>
      <c r="E24" s="23">
        <f>E269</f>
        <v>0</v>
      </c>
      <c r="F24" s="23">
        <f>F269</f>
        <v>0</v>
      </c>
      <c r="G24" s="26" t="str">
        <f>'Revenue - B-to-C'!F24</f>
        <v>High cost of data collection</v>
      </c>
      <c r="H24" s="26"/>
      <c r="I24" s="26"/>
      <c r="J24" s="108"/>
    </row>
    <row r="25" spans="1:10" ht="13.5">
      <c r="A25" s="48"/>
      <c r="B25" s="32"/>
      <c r="C25" s="26"/>
      <c r="D25" s="37"/>
      <c r="E25" s="47"/>
      <c r="F25" s="47"/>
      <c r="G25" s="26"/>
      <c r="H25" s="26"/>
      <c r="I25" s="26"/>
      <c r="J25" s="108"/>
    </row>
    <row r="26" spans="1:10" ht="15" thickBot="1">
      <c r="A26" s="48"/>
      <c r="B26" s="159"/>
      <c r="C26" s="160"/>
      <c r="D26" s="138"/>
      <c r="E26" s="138"/>
      <c r="F26" s="138"/>
      <c r="G26" s="138"/>
      <c r="H26" s="138"/>
      <c r="I26" s="138"/>
      <c r="J26" s="161"/>
    </row>
    <row r="27" spans="1:10" ht="13.5">
      <c r="A27" s="48"/>
      <c r="B27" s="32"/>
      <c r="C27" s="26"/>
      <c r="D27" s="26"/>
      <c r="E27" s="26"/>
      <c r="F27" s="26"/>
      <c r="G27" s="26"/>
      <c r="H27" s="26"/>
      <c r="I27" s="26"/>
      <c r="J27" s="108"/>
    </row>
    <row r="28" spans="1:10" ht="13.5">
      <c r="A28" s="48"/>
      <c r="B28" s="162" t="s">
        <v>240</v>
      </c>
      <c r="C28" s="26"/>
      <c r="D28" s="23">
        <f>SUM(D4:D25)</f>
        <v>327850</v>
      </c>
      <c r="E28" s="23">
        <f>SUM(E4:E25)</f>
        <v>1679057.625</v>
      </c>
      <c r="F28" s="23">
        <f>SUM(F4:F25)</f>
        <v>3297635.2671875</v>
      </c>
      <c r="G28" s="26"/>
      <c r="H28" s="26"/>
      <c r="I28" s="26"/>
      <c r="J28" s="108"/>
    </row>
    <row r="29" spans="1:10" ht="15" thickBot="1">
      <c r="A29" s="48"/>
      <c r="B29" s="19"/>
      <c r="C29" s="137"/>
      <c r="D29" s="138"/>
      <c r="E29" s="139"/>
      <c r="F29" s="139"/>
      <c r="G29" s="139"/>
      <c r="H29" s="138"/>
      <c r="I29" s="138"/>
      <c r="J29" s="161"/>
    </row>
    <row r="30" spans="1:7" ht="13.5">
      <c r="A30" s="48"/>
      <c r="B30" s="48"/>
      <c r="C30" s="55"/>
      <c r="E30" s="132"/>
      <c r="F30" s="141"/>
      <c r="G30" s="132"/>
    </row>
    <row r="31" spans="1:7" ht="13.5">
      <c r="A31" s="48"/>
      <c r="B31" s="48"/>
      <c r="C31" s="55"/>
      <c r="E31" s="132"/>
      <c r="F31" s="141"/>
      <c r="G31" s="132"/>
    </row>
    <row r="32" spans="1:7" ht="13.5">
      <c r="A32" s="48"/>
      <c r="B32" s="48"/>
      <c r="C32" s="55"/>
      <c r="E32" s="132"/>
      <c r="F32" s="141"/>
      <c r="G32" s="132"/>
    </row>
    <row r="33" ht="13.5">
      <c r="A33" s="99" t="s">
        <v>564</v>
      </c>
    </row>
    <row r="34" spans="1:2" ht="13.5">
      <c r="A34" s="99"/>
      <c r="B34" s="25" t="s">
        <v>565</v>
      </c>
    </row>
    <row r="35" spans="1:2" ht="13.5">
      <c r="A35" s="99"/>
      <c r="B35" s="164" t="s">
        <v>566</v>
      </c>
    </row>
    <row r="36" ht="15" thickBot="1"/>
    <row r="37" spans="2:6" ht="13.5">
      <c r="B37" s="70" t="s">
        <v>408</v>
      </c>
      <c r="C37" s="71"/>
      <c r="D37" s="71"/>
      <c r="E37" s="71"/>
      <c r="F37" s="330"/>
    </row>
    <row r="38" spans="2:6" ht="13.5">
      <c r="B38" s="16"/>
      <c r="C38" s="48"/>
      <c r="D38" s="55" t="s">
        <v>196</v>
      </c>
      <c r="E38" s="55" t="s">
        <v>197</v>
      </c>
      <c r="F38" s="130" t="s">
        <v>198</v>
      </c>
    </row>
    <row r="39" spans="2:7" ht="13.5">
      <c r="B39" s="16"/>
      <c r="C39" s="165" t="s">
        <v>61</v>
      </c>
      <c r="D39" s="147">
        <v>5000</v>
      </c>
      <c r="E39" s="191"/>
      <c r="F39" s="192"/>
      <c r="G39" s="25" t="s">
        <v>62</v>
      </c>
    </row>
    <row r="40" spans="2:6" ht="13.5">
      <c r="B40" s="16"/>
      <c r="C40" s="17"/>
      <c r="D40" s="173"/>
      <c r="E40" s="173"/>
      <c r="F40" s="174"/>
    </row>
    <row r="41" spans="2:6" ht="13.5">
      <c r="B41" s="16"/>
      <c r="C41" s="17" t="s">
        <v>63</v>
      </c>
      <c r="D41" s="86">
        <v>0</v>
      </c>
      <c r="E41" s="86">
        <v>0</v>
      </c>
      <c r="F41" s="87">
        <v>0</v>
      </c>
    </row>
    <row r="42" spans="2:6" ht="13.5">
      <c r="B42" s="16"/>
      <c r="C42" s="17"/>
      <c r="D42" s="12"/>
      <c r="E42" s="12"/>
      <c r="F42" s="168"/>
    </row>
    <row r="43" spans="2:6" ht="15" thickBot="1">
      <c r="B43" s="19"/>
      <c r="C43" s="20"/>
      <c r="D43" s="20"/>
      <c r="E43" s="20"/>
      <c r="F43" s="21"/>
    </row>
    <row r="45" spans="4:6" ht="13.5">
      <c r="D45" s="169" t="s">
        <v>196</v>
      </c>
      <c r="E45" s="169" t="s">
        <v>197</v>
      </c>
      <c r="F45" s="169" t="s">
        <v>198</v>
      </c>
    </row>
    <row r="47" spans="2:6" ht="13.5">
      <c r="B47" s="25" t="s">
        <v>262</v>
      </c>
      <c r="D47" s="23">
        <f>D41+D39</f>
        <v>5000</v>
      </c>
      <c r="E47" s="23">
        <f>E41</f>
        <v>0</v>
      </c>
      <c r="F47" s="23">
        <f>F41</f>
        <v>0</v>
      </c>
    </row>
    <row r="51" ht="13.5">
      <c r="A51" s="99" t="s">
        <v>572</v>
      </c>
    </row>
    <row r="52" spans="1:2" ht="13.5">
      <c r="A52" s="99"/>
      <c r="B52" s="25" t="s">
        <v>573</v>
      </c>
    </row>
    <row r="53" spans="1:2" ht="13.5">
      <c r="A53" s="99"/>
      <c r="B53" s="164" t="s">
        <v>574</v>
      </c>
    </row>
    <row r="54" ht="15" thickBot="1"/>
    <row r="55" spans="2:8" ht="13.5">
      <c r="B55" s="70" t="s">
        <v>408</v>
      </c>
      <c r="C55" s="71"/>
      <c r="D55" s="71"/>
      <c r="E55" s="71"/>
      <c r="F55" s="330"/>
      <c r="H55" s="164"/>
    </row>
    <row r="56" spans="2:6" ht="13.5">
      <c r="B56" s="16"/>
      <c r="C56" s="48"/>
      <c r="D56" s="55" t="s">
        <v>196</v>
      </c>
      <c r="E56" s="55" t="s">
        <v>197</v>
      </c>
      <c r="F56" s="130" t="s">
        <v>198</v>
      </c>
    </row>
    <row r="57" spans="2:7" ht="13.5">
      <c r="B57" s="16"/>
      <c r="C57" s="48" t="s">
        <v>61</v>
      </c>
      <c r="D57" s="84">
        <v>5000</v>
      </c>
      <c r="E57" s="17"/>
      <c r="F57" s="18"/>
      <c r="G57" s="25" t="s">
        <v>64</v>
      </c>
    </row>
    <row r="58" spans="2:8" ht="13.5">
      <c r="B58" s="16"/>
      <c r="C58" s="48"/>
      <c r="D58" s="17"/>
      <c r="E58" s="17"/>
      <c r="F58" s="18"/>
      <c r="H58" s="164"/>
    </row>
    <row r="59" spans="2:8" ht="13.5">
      <c r="B59" s="16"/>
      <c r="C59" s="48" t="s">
        <v>65</v>
      </c>
      <c r="D59" s="183">
        <f>Staffing!K102</f>
        <v>18749.999999999996</v>
      </c>
      <c r="E59" s="183">
        <f>Staffing!L102</f>
        <v>25750</v>
      </c>
      <c r="F59" s="184">
        <f>Staffing!M102</f>
        <v>26522.5</v>
      </c>
      <c r="H59" s="164"/>
    </row>
    <row r="60" spans="2:8" ht="13.5">
      <c r="B60" s="16"/>
      <c r="C60" s="48"/>
      <c r="D60" s="17"/>
      <c r="E60" s="17"/>
      <c r="F60" s="18"/>
      <c r="H60" s="164"/>
    </row>
    <row r="61" spans="2:6" ht="13.5">
      <c r="B61" s="16"/>
      <c r="C61" s="17" t="s">
        <v>66</v>
      </c>
      <c r="D61" s="76">
        <v>0.3</v>
      </c>
      <c r="E61" s="76">
        <v>0.3</v>
      </c>
      <c r="F61" s="69">
        <v>0.3</v>
      </c>
    </row>
    <row r="62" spans="2:6" ht="13.5">
      <c r="B62" s="16"/>
      <c r="C62" s="17" t="s">
        <v>67</v>
      </c>
      <c r="D62" s="183">
        <f>D61*('Revenue - B-to-C'!C65*'Revenue - B-to-C'!C66*'Revenue - B-to-C'!C67)</f>
        <v>31200</v>
      </c>
      <c r="E62" s="183">
        <f>E61*('Revenue - B-to-C'!D65*'Revenue - B-to-C'!D66*'Revenue - B-to-C'!D67)</f>
        <v>31200</v>
      </c>
      <c r="F62" s="184">
        <f>F61*('Revenue - B-to-C'!E65*'Revenue - B-to-C'!E66*'Revenue - B-to-C'!E67)</f>
        <v>31200</v>
      </c>
    </row>
    <row r="63" spans="2:6" ht="13.5">
      <c r="B63" s="16"/>
      <c r="C63" s="17"/>
      <c r="D63" s="17"/>
      <c r="E63" s="17"/>
      <c r="F63" s="18"/>
    </row>
    <row r="64" spans="2:8" ht="13.5">
      <c r="B64" s="16"/>
      <c r="C64" s="17" t="s">
        <v>68</v>
      </c>
      <c r="D64" s="84">
        <v>6000</v>
      </c>
      <c r="E64" s="84">
        <v>6000</v>
      </c>
      <c r="F64" s="85">
        <v>6000</v>
      </c>
      <c r="G64" s="25" t="s">
        <v>69</v>
      </c>
      <c r="H64" s="164"/>
    </row>
    <row r="65" spans="2:8" ht="13.5">
      <c r="B65" s="16"/>
      <c r="C65" s="17"/>
      <c r="D65" s="17"/>
      <c r="E65" s="17"/>
      <c r="F65" s="18"/>
      <c r="H65" s="164"/>
    </row>
    <row r="66" spans="2:8" ht="13.5">
      <c r="B66" s="16"/>
      <c r="C66" s="48" t="s">
        <v>70</v>
      </c>
      <c r="D66" s="84">
        <v>15000</v>
      </c>
      <c r="E66" s="84">
        <v>15000</v>
      </c>
      <c r="F66" s="85">
        <v>15000</v>
      </c>
      <c r="H66" s="164"/>
    </row>
    <row r="67" spans="2:8" ht="13.5">
      <c r="B67" s="16"/>
      <c r="C67" s="17" t="s">
        <v>71</v>
      </c>
      <c r="D67" s="84">
        <v>5000</v>
      </c>
      <c r="E67" s="84">
        <v>5000</v>
      </c>
      <c r="F67" s="85">
        <v>5000</v>
      </c>
      <c r="G67" s="25" t="s">
        <v>72</v>
      </c>
      <c r="H67" s="164"/>
    </row>
    <row r="68" spans="2:6" ht="13.5">
      <c r="B68" s="16"/>
      <c r="C68" s="17"/>
      <c r="D68" s="17"/>
      <c r="E68" s="17"/>
      <c r="F68" s="18"/>
    </row>
    <row r="69" spans="2:6" ht="15" thickBot="1">
      <c r="B69" s="19"/>
      <c r="C69" s="20"/>
      <c r="D69" s="20"/>
      <c r="E69" s="20"/>
      <c r="F69" s="21"/>
    </row>
    <row r="71" spans="4:6" ht="13.5">
      <c r="D71" s="169" t="s">
        <v>196</v>
      </c>
      <c r="E71" s="169" t="s">
        <v>197</v>
      </c>
      <c r="F71" s="169" t="s">
        <v>198</v>
      </c>
    </row>
    <row r="72" ht="13.5">
      <c r="B72" s="99"/>
    </row>
    <row r="73" spans="2:43" ht="13.5">
      <c r="B73" s="25" t="s">
        <v>580</v>
      </c>
      <c r="D73" s="23">
        <f>((D62+D64+D66+D67)*'Revenue - B-to-C'!C62)+D59+D57</f>
        <v>195350</v>
      </c>
      <c r="E73" s="23">
        <f>((E62+E64+E66+E67)*'Revenue - B-to-C'!D62)+E59</f>
        <v>254550</v>
      </c>
      <c r="F73" s="23">
        <f>((F62+F64+F66+F67)*'Revenue - B-to-C'!E62)+F59</f>
        <v>255322.5</v>
      </c>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row>
    <row r="74" spans="1:3" ht="13.5">
      <c r="A74" s="99"/>
      <c r="C74" s="136"/>
    </row>
    <row r="77" ht="13.5">
      <c r="A77" s="99" t="s">
        <v>581</v>
      </c>
    </row>
    <row r="78" spans="1:2" ht="13.5">
      <c r="A78" s="171"/>
      <c r="B78" s="25" t="s">
        <v>582</v>
      </c>
    </row>
    <row r="79" spans="1:2" ht="13.5">
      <c r="A79" s="171"/>
      <c r="B79" s="164" t="s">
        <v>583</v>
      </c>
    </row>
    <row r="80" spans="1:2" ht="13.5">
      <c r="A80" s="171"/>
      <c r="B80" s="164" t="s">
        <v>584</v>
      </c>
    </row>
    <row r="81" ht="15" thickBot="1">
      <c r="A81" s="171"/>
    </row>
    <row r="82" spans="2:6" ht="13.5">
      <c r="B82" s="70" t="s">
        <v>408</v>
      </c>
      <c r="C82" s="71"/>
      <c r="D82" s="71"/>
      <c r="E82" s="71"/>
      <c r="F82" s="330"/>
    </row>
    <row r="83" spans="2:6" ht="13.5">
      <c r="B83" s="16"/>
      <c r="C83" s="48"/>
      <c r="D83" s="55" t="s">
        <v>196</v>
      </c>
      <c r="E83" s="55" t="s">
        <v>197</v>
      </c>
      <c r="F83" s="130" t="s">
        <v>198</v>
      </c>
    </row>
    <row r="84" spans="2:6" ht="13.5">
      <c r="B84" s="16"/>
      <c r="C84" s="48" t="s">
        <v>61</v>
      </c>
      <c r="D84" s="84">
        <v>5000</v>
      </c>
      <c r="E84" s="84">
        <v>5000</v>
      </c>
      <c r="F84" s="85">
        <v>5000</v>
      </c>
    </row>
    <row r="85" spans="2:6" ht="13.5">
      <c r="B85" s="16"/>
      <c r="C85" s="26"/>
      <c r="D85" s="23"/>
      <c r="E85" s="23"/>
      <c r="F85" s="112"/>
    </row>
    <row r="86" spans="2:6" ht="13.5">
      <c r="B86" s="16"/>
      <c r="C86" s="26" t="s">
        <v>65</v>
      </c>
      <c r="D86" s="23">
        <f>Staffing!K108</f>
        <v>37499.99999999999</v>
      </c>
      <c r="E86" s="23">
        <f>Staffing!L108</f>
        <v>51500</v>
      </c>
      <c r="F86" s="184">
        <f>Staffing!M108</f>
        <v>53045</v>
      </c>
    </row>
    <row r="87" spans="2:6" ht="13.5">
      <c r="B87" s="16"/>
      <c r="C87" s="26"/>
      <c r="D87" s="23"/>
      <c r="E87" s="23"/>
      <c r="F87" s="112"/>
    </row>
    <row r="88" spans="2:9" ht="13.5">
      <c r="B88" s="179">
        <v>0.05</v>
      </c>
      <c r="C88" s="48" t="s">
        <v>73</v>
      </c>
      <c r="D88" s="84">
        <v>10000</v>
      </c>
      <c r="E88" s="183">
        <f>D88*(1+B88)</f>
        <v>10500</v>
      </c>
      <c r="F88" s="184">
        <f>E88*(1+B88)</f>
        <v>11025</v>
      </c>
      <c r="I88" s="170"/>
    </row>
    <row r="89" spans="2:9" ht="13.5">
      <c r="B89" s="179">
        <v>0.05</v>
      </c>
      <c r="C89" s="48" t="s">
        <v>74</v>
      </c>
      <c r="D89" s="84">
        <v>10000</v>
      </c>
      <c r="E89" s="183">
        <f>D89*(1+B89)</f>
        <v>10500</v>
      </c>
      <c r="F89" s="184">
        <f>E89*(1+B89)</f>
        <v>11025</v>
      </c>
      <c r="I89" s="170"/>
    </row>
    <row r="90" spans="2:6" ht="13.5">
      <c r="B90" s="16"/>
      <c r="C90" s="165"/>
      <c r="D90" s="23"/>
      <c r="E90" s="23"/>
      <c r="F90" s="112"/>
    </row>
    <row r="91" spans="2:6" ht="13.5">
      <c r="B91" s="16"/>
      <c r="C91" s="165" t="s">
        <v>75</v>
      </c>
      <c r="D91" s="76">
        <v>0.2</v>
      </c>
      <c r="E91" s="76">
        <v>0.2</v>
      </c>
      <c r="F91" s="69">
        <v>0.2</v>
      </c>
    </row>
    <row r="92" spans="2:6" ht="13.5">
      <c r="B92" s="16"/>
      <c r="C92" s="165" t="s">
        <v>0</v>
      </c>
      <c r="D92" s="23">
        <f>D91*('Revenue - B-to-C'!C91*'Revenue - B-to-C'!C95)</f>
        <v>5000</v>
      </c>
      <c r="E92" s="23">
        <f>E91*('Revenue - B-to-C'!D91*'Revenue - B-to-C'!D95)</f>
        <v>5000</v>
      </c>
      <c r="F92" s="184">
        <f>F91*('Revenue - B-to-C'!E91*'Revenue - B-to-C'!E95)</f>
        <v>5000</v>
      </c>
    </row>
    <row r="93" spans="2:6" ht="13.5">
      <c r="B93" s="16"/>
      <c r="C93" s="26"/>
      <c r="D93" s="11"/>
      <c r="E93" s="11"/>
      <c r="F93" s="166"/>
    </row>
    <row r="94" spans="2:6" ht="15" thickBot="1">
      <c r="B94" s="19"/>
      <c r="C94" s="20"/>
      <c r="D94" s="20"/>
      <c r="E94" s="20"/>
      <c r="F94" s="21"/>
    </row>
    <row r="95" ht="13.5">
      <c r="B95" s="171"/>
    </row>
    <row r="96" spans="4:6" ht="13.5">
      <c r="D96" s="169" t="s">
        <v>196</v>
      </c>
      <c r="E96" s="169" t="s">
        <v>197</v>
      </c>
      <c r="F96" s="169" t="s">
        <v>198</v>
      </c>
    </row>
    <row r="98" spans="2:43" ht="13.5">
      <c r="B98" s="25" t="s">
        <v>264</v>
      </c>
      <c r="D98" s="23">
        <f>D84+(D86+((D88+D89+D92)*'Revenue - B-to-C'!C90))</f>
        <v>117500</v>
      </c>
      <c r="E98" s="23">
        <f>E84+(E86+((E88+E89+E92)*'Revenue - B-to-C'!D90))</f>
        <v>186500</v>
      </c>
      <c r="F98" s="23">
        <f>F84+(F86+((F88+F89+F92)*'Revenue - B-to-C'!E90))</f>
        <v>220345</v>
      </c>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row>
    <row r="101" spans="3:43" ht="13.5">
      <c r="C101" s="172"/>
      <c r="D101" s="172"/>
      <c r="E101" s="172"/>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row>
    <row r="102" ht="13.5">
      <c r="A102" s="99" t="s">
        <v>378</v>
      </c>
    </row>
    <row r="103" spans="1:2" ht="13.5">
      <c r="A103" s="99"/>
      <c r="B103" s="25" t="s">
        <v>379</v>
      </c>
    </row>
    <row r="104" spans="1:2" ht="13.5">
      <c r="A104" s="99"/>
      <c r="B104" s="164" t="s">
        <v>380</v>
      </c>
    </row>
    <row r="105" spans="1:2" ht="13.5">
      <c r="A105" s="99"/>
      <c r="B105" s="164" t="s">
        <v>381</v>
      </c>
    </row>
    <row r="106" ht="15" thickBot="1"/>
    <row r="107" spans="2:6" ht="13.5">
      <c r="B107" s="70" t="s">
        <v>408</v>
      </c>
      <c r="C107" s="71"/>
      <c r="D107" s="71"/>
      <c r="E107" s="71"/>
      <c r="F107" s="330"/>
    </row>
    <row r="108" spans="2:6" ht="13.5">
      <c r="B108" s="16"/>
      <c r="C108" s="48"/>
      <c r="D108" s="55" t="s">
        <v>196</v>
      </c>
      <c r="E108" s="55" t="s">
        <v>197</v>
      </c>
      <c r="F108" s="130" t="s">
        <v>198</v>
      </c>
    </row>
    <row r="109" spans="2:6" ht="13.5">
      <c r="B109" s="16"/>
      <c r="C109" s="17" t="s">
        <v>61</v>
      </c>
      <c r="D109" s="84">
        <v>8000</v>
      </c>
      <c r="E109" s="173"/>
      <c r="F109" s="174"/>
    </row>
    <row r="110" spans="2:6" ht="13.5">
      <c r="B110" s="16"/>
      <c r="C110" s="17"/>
      <c r="D110" s="17"/>
      <c r="E110" s="17"/>
      <c r="F110" s="18"/>
    </row>
    <row r="111" spans="2:6" ht="13.5">
      <c r="B111" s="16"/>
      <c r="C111" s="17" t="s">
        <v>253</v>
      </c>
      <c r="D111" s="84">
        <v>0</v>
      </c>
      <c r="E111" s="84">
        <v>3000</v>
      </c>
      <c r="F111" s="85">
        <v>3000</v>
      </c>
    </row>
    <row r="112" spans="2:6" ht="13.5">
      <c r="B112" s="16"/>
      <c r="C112" s="17"/>
      <c r="D112" s="17"/>
      <c r="E112" s="17"/>
      <c r="F112" s="18"/>
    </row>
    <row r="113" spans="2:6" ht="15" thickBot="1">
      <c r="B113" s="19"/>
      <c r="C113" s="20"/>
      <c r="D113" s="20"/>
      <c r="E113" s="20"/>
      <c r="F113" s="21"/>
    </row>
    <row r="115" spans="4:6" ht="13.5">
      <c r="D115" s="169" t="s">
        <v>196</v>
      </c>
      <c r="E115" s="169" t="s">
        <v>197</v>
      </c>
      <c r="F115" s="169" t="s">
        <v>198</v>
      </c>
    </row>
    <row r="117" spans="2:43" ht="13.5">
      <c r="B117" s="25" t="s">
        <v>390</v>
      </c>
      <c r="D117" s="23">
        <f>D109+D111</f>
        <v>8000</v>
      </c>
      <c r="E117" s="23">
        <f>E111</f>
        <v>3000</v>
      </c>
      <c r="F117" s="23">
        <f>F111</f>
        <v>3000</v>
      </c>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row>
    <row r="121" ht="13.5">
      <c r="A121" s="99" t="s">
        <v>389</v>
      </c>
    </row>
    <row r="122" spans="1:2" ht="13.5">
      <c r="A122" s="99"/>
      <c r="B122" s="164" t="s">
        <v>503</v>
      </c>
    </row>
    <row r="123" spans="1:2" ht="13.5">
      <c r="A123" s="99"/>
      <c r="B123" s="164" t="s">
        <v>504</v>
      </c>
    </row>
    <row r="124" ht="15" thickBot="1"/>
    <row r="125" spans="2:6" ht="13.5">
      <c r="B125" s="70" t="s">
        <v>408</v>
      </c>
      <c r="C125" s="71"/>
      <c r="D125" s="71"/>
      <c r="E125" s="71"/>
      <c r="F125" s="330"/>
    </row>
    <row r="126" spans="2:6" ht="13.5">
      <c r="B126" s="16"/>
      <c r="C126" s="48"/>
      <c r="D126" s="55" t="s">
        <v>196</v>
      </c>
      <c r="E126" s="55" t="s">
        <v>197</v>
      </c>
      <c r="F126" s="130" t="s">
        <v>198</v>
      </c>
    </row>
    <row r="127" spans="2:6" ht="13.5">
      <c r="B127" s="16"/>
      <c r="C127" s="48" t="s">
        <v>61</v>
      </c>
      <c r="D127" s="84">
        <v>2000</v>
      </c>
      <c r="E127" s="17"/>
      <c r="F127" s="18"/>
    </row>
    <row r="128" spans="2:6" ht="13.5">
      <c r="B128" s="16"/>
      <c r="C128" s="17"/>
      <c r="D128" s="17"/>
      <c r="E128" s="17"/>
      <c r="F128" s="18"/>
    </row>
    <row r="129" spans="2:6" ht="13.5">
      <c r="B129" s="16"/>
      <c r="C129" s="17" t="s">
        <v>63</v>
      </c>
      <c r="D129" s="84">
        <v>0</v>
      </c>
      <c r="E129" s="84">
        <v>0</v>
      </c>
      <c r="F129" s="85">
        <v>0</v>
      </c>
    </row>
    <row r="130" spans="2:6" ht="13.5">
      <c r="B130" s="16"/>
      <c r="C130" s="17"/>
      <c r="D130" s="17"/>
      <c r="E130" s="17"/>
      <c r="F130" s="18"/>
    </row>
    <row r="131" spans="2:6" ht="15" thickBot="1">
      <c r="B131" s="19"/>
      <c r="C131" s="20"/>
      <c r="D131" s="20"/>
      <c r="E131" s="20"/>
      <c r="F131" s="21"/>
    </row>
    <row r="133" spans="4:6" ht="13.5">
      <c r="D133" s="169" t="s">
        <v>196</v>
      </c>
      <c r="E133" s="169" t="s">
        <v>197</v>
      </c>
      <c r="F133" s="169" t="s">
        <v>198</v>
      </c>
    </row>
    <row r="135" spans="2:43" ht="13.5">
      <c r="B135" s="25" t="s">
        <v>391</v>
      </c>
      <c r="D135" s="23">
        <f>D127+D129</f>
        <v>2000</v>
      </c>
      <c r="E135" s="23">
        <f>E129</f>
        <v>0</v>
      </c>
      <c r="F135" s="23">
        <f>F129</f>
        <v>0</v>
      </c>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row>
    <row r="139" ht="13.5">
      <c r="A139" s="99" t="s">
        <v>508</v>
      </c>
    </row>
    <row r="140" spans="1:2" ht="13.5">
      <c r="A140" s="99"/>
      <c r="B140" s="164" t="s">
        <v>539</v>
      </c>
    </row>
    <row r="141" spans="1:2" ht="13.5">
      <c r="A141" s="99"/>
      <c r="B141" s="164" t="s">
        <v>540</v>
      </c>
    </row>
    <row r="142" ht="15" thickBot="1"/>
    <row r="143" spans="2:6" ht="13.5">
      <c r="B143" s="70" t="s">
        <v>408</v>
      </c>
      <c r="C143" s="71"/>
      <c r="D143" s="71"/>
      <c r="E143" s="71"/>
      <c r="F143" s="330"/>
    </row>
    <row r="144" spans="2:6" ht="13.5">
      <c r="B144" s="16"/>
      <c r="C144" s="48"/>
      <c r="D144" s="55" t="s">
        <v>196</v>
      </c>
      <c r="E144" s="55" t="s">
        <v>197</v>
      </c>
      <c r="F144" s="130" t="s">
        <v>198</v>
      </c>
    </row>
    <row r="145" spans="2:6" ht="13.5">
      <c r="B145" s="16"/>
      <c r="C145" s="17" t="s">
        <v>159</v>
      </c>
      <c r="D145" s="381" t="s">
        <v>160</v>
      </c>
      <c r="E145" s="381"/>
      <c r="F145" s="382"/>
    </row>
    <row r="146" spans="2:6" ht="13.5">
      <c r="B146" s="16"/>
      <c r="C146" s="17"/>
      <c r="D146" s="17"/>
      <c r="E146" s="17"/>
      <c r="F146" s="18"/>
    </row>
    <row r="147" spans="2:6" ht="15" thickBot="1">
      <c r="B147" s="19"/>
      <c r="C147" s="20"/>
      <c r="D147" s="20"/>
      <c r="E147" s="20"/>
      <c r="F147" s="21"/>
    </row>
    <row r="149" spans="4:6" ht="13.5">
      <c r="D149" s="169" t="s">
        <v>196</v>
      </c>
      <c r="E149" s="169" t="s">
        <v>197</v>
      </c>
      <c r="F149" s="169" t="s">
        <v>198</v>
      </c>
    </row>
    <row r="151" spans="2:6" ht="13.5">
      <c r="B151" s="25" t="s">
        <v>392</v>
      </c>
      <c r="D151" s="23">
        <v>0</v>
      </c>
      <c r="E151" s="23">
        <v>0</v>
      </c>
      <c r="F151" s="23">
        <v>0</v>
      </c>
    </row>
    <row r="152" spans="4:6" ht="13.5">
      <c r="D152" s="23"/>
      <c r="E152" s="23"/>
      <c r="F152" s="23"/>
    </row>
    <row r="155" ht="13.5">
      <c r="A155" s="99" t="s">
        <v>546</v>
      </c>
    </row>
    <row r="156" spans="1:2" ht="13.5">
      <c r="A156" s="99"/>
      <c r="B156" s="25" t="s">
        <v>456</v>
      </c>
    </row>
    <row r="157" spans="1:2" ht="13.5">
      <c r="A157" s="99"/>
      <c r="B157" s="25" t="s">
        <v>460</v>
      </c>
    </row>
    <row r="158" spans="1:2" ht="13.5">
      <c r="A158" s="99"/>
      <c r="B158" s="164" t="s">
        <v>547</v>
      </c>
    </row>
    <row r="159" spans="1:2" ht="13.5">
      <c r="A159" s="99"/>
      <c r="B159" s="164" t="s">
        <v>548</v>
      </c>
    </row>
    <row r="160" spans="1:2" ht="13.5">
      <c r="A160" s="99"/>
      <c r="B160" s="164" t="s">
        <v>549</v>
      </c>
    </row>
    <row r="161" ht="15" thickBot="1"/>
    <row r="162" spans="2:10" ht="13.5">
      <c r="B162" s="70" t="s">
        <v>408</v>
      </c>
      <c r="C162" s="71"/>
      <c r="D162" s="71"/>
      <c r="E162" s="71"/>
      <c r="F162" s="330"/>
      <c r="J162" s="113"/>
    </row>
    <row r="163" spans="2:6" ht="13.5">
      <c r="B163" s="16"/>
      <c r="C163" s="48"/>
      <c r="D163" s="55" t="s">
        <v>196</v>
      </c>
      <c r="E163" s="55" t="s">
        <v>197</v>
      </c>
      <c r="F163" s="130" t="s">
        <v>198</v>
      </c>
    </row>
    <row r="164" spans="2:6" ht="13.5">
      <c r="B164" s="16"/>
      <c r="C164" s="48" t="s">
        <v>61</v>
      </c>
      <c r="D164" s="12"/>
      <c r="E164" s="84">
        <v>4000</v>
      </c>
      <c r="F164" s="168"/>
    </row>
    <row r="165" spans="2:6" ht="13.5">
      <c r="B165" s="16"/>
      <c r="C165" s="48"/>
      <c r="D165" s="12"/>
      <c r="E165" s="12"/>
      <c r="F165" s="168"/>
    </row>
    <row r="166" spans="2:6" ht="13.5">
      <c r="B166" s="16"/>
      <c r="C166" s="48" t="s">
        <v>161</v>
      </c>
      <c r="D166" s="12"/>
      <c r="E166" s="86">
        <v>4000</v>
      </c>
      <c r="F166" s="87">
        <v>4000</v>
      </c>
    </row>
    <row r="167" spans="2:6" ht="13.5">
      <c r="B167" s="16"/>
      <c r="C167" s="48" t="s">
        <v>162</v>
      </c>
      <c r="D167" s="12"/>
      <c r="E167" s="74">
        <v>0.25</v>
      </c>
      <c r="F167" s="75">
        <v>0.25</v>
      </c>
    </row>
    <row r="168" spans="2:6" ht="13.5">
      <c r="B168" s="16"/>
      <c r="C168" s="48"/>
      <c r="D168" s="12"/>
      <c r="E168" s="12"/>
      <c r="F168" s="168"/>
    </row>
    <row r="169" spans="2:6" ht="13.5">
      <c r="B169" s="16"/>
      <c r="C169" s="48" t="s">
        <v>163</v>
      </c>
      <c r="D169" s="12"/>
      <c r="E169" s="23">
        <f>Staffing!L115</f>
        <v>65018.75</v>
      </c>
      <c r="F169" s="184">
        <f>Staffing!M115</f>
        <v>66969.3125</v>
      </c>
    </row>
    <row r="170" spans="2:6" ht="13.5">
      <c r="B170" s="16"/>
      <c r="C170" s="17"/>
      <c r="D170" s="12"/>
      <c r="E170" s="12"/>
      <c r="F170" s="168"/>
    </row>
    <row r="171" spans="2:6" ht="15" thickBot="1">
      <c r="B171" s="19"/>
      <c r="C171" s="20"/>
      <c r="D171" s="20"/>
      <c r="E171" s="20"/>
      <c r="F171" s="21"/>
    </row>
    <row r="173" spans="4:6" ht="13.5">
      <c r="D173" s="169" t="s">
        <v>196</v>
      </c>
      <c r="E173" s="169" t="s">
        <v>197</v>
      </c>
      <c r="F173" s="169" t="s">
        <v>198</v>
      </c>
    </row>
    <row r="174" ht="13.5">
      <c r="H174" s="178"/>
    </row>
    <row r="175" spans="2:43" ht="13.5">
      <c r="B175" s="25" t="s">
        <v>393</v>
      </c>
      <c r="D175" s="23"/>
      <c r="E175" s="23">
        <f>E164+(E166*E167)+E169</f>
        <v>70018.75</v>
      </c>
      <c r="F175" s="23">
        <f>F164+(F166*F167)+F169</f>
        <v>67969.3125</v>
      </c>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row>
    <row r="177" ht="13.5">
      <c r="H177" s="164"/>
    </row>
    <row r="178" ht="13.5">
      <c r="H178" s="164"/>
    </row>
    <row r="179" ht="13.5">
      <c r="A179" s="99" t="s">
        <v>552</v>
      </c>
    </row>
    <row r="180" spans="1:2" ht="13.5">
      <c r="A180" s="99"/>
      <c r="B180" s="25" t="s">
        <v>208</v>
      </c>
    </row>
    <row r="181" spans="1:2" ht="13.5">
      <c r="A181" s="99"/>
      <c r="B181" s="178" t="s">
        <v>553</v>
      </c>
    </row>
    <row r="182" ht="15" thickBot="1"/>
    <row r="183" spans="2:6" ht="13.5">
      <c r="B183" s="70" t="s">
        <v>408</v>
      </c>
      <c r="C183" s="71"/>
      <c r="D183" s="71"/>
      <c r="E183" s="71"/>
      <c r="F183" s="330"/>
    </row>
    <row r="184" spans="2:6" ht="13.5">
      <c r="B184" s="16"/>
      <c r="C184" s="48"/>
      <c r="D184" s="55" t="s">
        <v>196</v>
      </c>
      <c r="E184" s="55" t="s">
        <v>197</v>
      </c>
      <c r="F184" s="130" t="s">
        <v>198</v>
      </c>
    </row>
    <row r="185" spans="2:43" ht="13.5">
      <c r="B185" s="16"/>
      <c r="C185" s="17" t="s">
        <v>61</v>
      </c>
      <c r="E185" s="84">
        <v>5000</v>
      </c>
      <c r="F185" s="166"/>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row>
    <row r="186" spans="2:6" ht="13.5">
      <c r="B186" s="16"/>
      <c r="C186" s="17"/>
      <c r="D186" s="11"/>
      <c r="E186" s="11"/>
      <c r="F186" s="166"/>
    </row>
    <row r="187" spans="2:6" ht="13.5">
      <c r="B187" s="16"/>
      <c r="C187" s="17" t="s">
        <v>63</v>
      </c>
      <c r="D187" s="183"/>
      <c r="E187" s="84">
        <v>0</v>
      </c>
      <c r="F187" s="85">
        <v>0</v>
      </c>
    </row>
    <row r="188" spans="2:6" ht="13.5">
      <c r="B188" s="16"/>
      <c r="C188" s="17"/>
      <c r="D188" s="17"/>
      <c r="E188" s="17"/>
      <c r="F188" s="18"/>
    </row>
    <row r="189" spans="2:6" ht="15" thickBot="1">
      <c r="B189" s="19"/>
      <c r="C189" s="20"/>
      <c r="D189" s="20"/>
      <c r="E189" s="20"/>
      <c r="F189" s="21"/>
    </row>
    <row r="191" spans="4:6" ht="13.5">
      <c r="D191" s="169" t="s">
        <v>196</v>
      </c>
      <c r="E191" s="169" t="s">
        <v>197</v>
      </c>
      <c r="F191" s="169" t="s">
        <v>198</v>
      </c>
    </row>
    <row r="192" ht="13.5">
      <c r="B192" s="99"/>
    </row>
    <row r="193" spans="2:43" ht="13.5">
      <c r="B193" s="25" t="s">
        <v>394</v>
      </c>
      <c r="D193" s="23">
        <v>0</v>
      </c>
      <c r="E193" s="23">
        <f>E185+E187</f>
        <v>5000</v>
      </c>
      <c r="F193" s="23">
        <f>F187</f>
        <v>0</v>
      </c>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row>
    <row r="197" ht="13.5">
      <c r="A197" s="99" t="s">
        <v>418</v>
      </c>
    </row>
    <row r="198" spans="1:2" ht="13.5">
      <c r="A198" s="99"/>
      <c r="B198" s="164" t="s">
        <v>396</v>
      </c>
    </row>
    <row r="199" spans="1:2" ht="13.5">
      <c r="A199" s="99"/>
      <c r="B199" s="164" t="s">
        <v>419</v>
      </c>
    </row>
    <row r="200" spans="1:2" ht="13.5">
      <c r="A200" s="99"/>
      <c r="B200" s="164" t="s">
        <v>420</v>
      </c>
    </row>
    <row r="201" ht="15" thickBot="1"/>
    <row r="202" spans="2:6" ht="13.5">
      <c r="B202" s="70" t="s">
        <v>408</v>
      </c>
      <c r="C202" s="71"/>
      <c r="D202" s="71"/>
      <c r="E202" s="71"/>
      <c r="F202" s="330"/>
    </row>
    <row r="203" spans="2:6" ht="13.5">
      <c r="B203" s="16"/>
      <c r="C203" s="48"/>
      <c r="D203" s="55" t="s">
        <v>196</v>
      </c>
      <c r="E203" s="55" t="s">
        <v>197</v>
      </c>
      <c r="F203" s="130" t="s">
        <v>198</v>
      </c>
    </row>
    <row r="204" spans="2:6" ht="13.5">
      <c r="B204" s="16"/>
      <c r="C204" s="48" t="s">
        <v>61</v>
      </c>
      <c r="E204" s="84">
        <v>80000</v>
      </c>
      <c r="F204" s="85">
        <v>80000</v>
      </c>
    </row>
    <row r="205" spans="2:6" ht="13.5">
      <c r="B205" s="16"/>
      <c r="C205" s="48"/>
      <c r="D205" s="55"/>
      <c r="E205" s="55"/>
      <c r="F205" s="130"/>
    </row>
    <row r="206" spans="2:6" ht="13.5">
      <c r="B206" s="16"/>
      <c r="C206" s="48" t="s">
        <v>164</v>
      </c>
      <c r="D206" s="55"/>
      <c r="E206" s="23">
        <f>Staffing!L130</f>
        <v>882967.5</v>
      </c>
      <c r="F206" s="112">
        <f>Staffing!M130</f>
        <v>2085464.175</v>
      </c>
    </row>
    <row r="207" spans="2:6" ht="13.5">
      <c r="B207" s="16"/>
      <c r="C207" s="48"/>
      <c r="D207" s="55"/>
      <c r="E207" s="55"/>
      <c r="F207" s="130"/>
    </row>
    <row r="208" spans="2:6" ht="13.5">
      <c r="B208" s="16"/>
      <c r="C208" s="48" t="s">
        <v>165</v>
      </c>
      <c r="D208" s="55"/>
      <c r="E208" s="76">
        <v>0.1</v>
      </c>
      <c r="F208" s="69">
        <v>0.1</v>
      </c>
    </row>
    <row r="209" spans="2:6" ht="13.5">
      <c r="B209" s="16"/>
      <c r="C209" s="193" t="s">
        <v>166</v>
      </c>
      <c r="D209" s="55"/>
      <c r="E209" s="23">
        <f>E208*'Revenue - B-to-C'!S281</f>
        <v>47580</v>
      </c>
      <c r="F209" s="112">
        <f>F208*'Revenue - B-to-C'!AE281</f>
        <v>142222.5</v>
      </c>
    </row>
    <row r="210" spans="2:6" ht="13.5">
      <c r="B210" s="16"/>
      <c r="C210" s="193" t="s">
        <v>167</v>
      </c>
      <c r="D210" s="55"/>
      <c r="E210" s="23">
        <v>0</v>
      </c>
      <c r="F210" s="112">
        <f>E209</f>
        <v>47580</v>
      </c>
    </row>
    <row r="211" spans="2:6" ht="13.5">
      <c r="B211" s="16"/>
      <c r="C211" s="193" t="s">
        <v>168</v>
      </c>
      <c r="D211" s="55"/>
      <c r="E211" s="23">
        <f>E209+E210</f>
        <v>47580</v>
      </c>
      <c r="F211" s="112">
        <f>F209+F210</f>
        <v>189802.5</v>
      </c>
    </row>
    <row r="212" spans="2:6" ht="13.5">
      <c r="B212" s="16"/>
      <c r="C212" s="48"/>
      <c r="D212" s="55"/>
      <c r="E212" s="55"/>
      <c r="F212" s="130"/>
    </row>
    <row r="213" spans="2:7" ht="13.5">
      <c r="B213" s="16"/>
      <c r="C213" s="48" t="s">
        <v>169</v>
      </c>
      <c r="D213" s="55"/>
      <c r="E213" s="55"/>
      <c r="F213" s="130"/>
      <c r="G213" s="25" t="s">
        <v>170</v>
      </c>
    </row>
    <row r="214" spans="2:6" ht="13.5">
      <c r="B214" s="16"/>
      <c r="C214" s="193" t="s">
        <v>171</v>
      </c>
      <c r="D214" s="55"/>
      <c r="E214" s="76">
        <v>0.5</v>
      </c>
      <c r="F214" s="69">
        <v>0.5</v>
      </c>
    </row>
    <row r="215" spans="2:6" ht="13.5">
      <c r="B215" s="16"/>
      <c r="C215" s="193" t="s">
        <v>172</v>
      </c>
      <c r="D215" s="55"/>
      <c r="E215" s="76">
        <v>0.25</v>
      </c>
      <c r="F215" s="69">
        <v>0.25</v>
      </c>
    </row>
    <row r="216" spans="2:6" ht="13.5">
      <c r="B216" s="16"/>
      <c r="C216" s="193" t="s">
        <v>173</v>
      </c>
      <c r="D216" s="55"/>
      <c r="E216" s="23">
        <f>E214*E215*'Revenue - B-to-C'!S283</f>
        <v>45966.375</v>
      </c>
      <c r="F216" s="112">
        <f>F214*F215*'Revenue - B-to-C'!AE283</f>
        <v>161840.4046875</v>
      </c>
    </row>
    <row r="217" spans="2:6" ht="13.5">
      <c r="B217" s="16"/>
      <c r="C217" s="193" t="s">
        <v>174</v>
      </c>
      <c r="D217" s="55"/>
      <c r="E217" s="23">
        <v>0</v>
      </c>
      <c r="F217" s="194">
        <f>E216</f>
        <v>45966.375</v>
      </c>
    </row>
    <row r="218" spans="2:6" ht="13.5">
      <c r="B218" s="16"/>
      <c r="C218" s="193" t="s">
        <v>175</v>
      </c>
      <c r="D218" s="55"/>
      <c r="E218" s="195">
        <f>E216+E217</f>
        <v>45966.375</v>
      </c>
      <c r="F218" s="194">
        <f>F216+F217</f>
        <v>207806.7796875</v>
      </c>
    </row>
    <row r="219" spans="2:6" ht="13.5">
      <c r="B219" s="16"/>
      <c r="C219" s="48"/>
      <c r="D219" s="55"/>
      <c r="E219" s="55"/>
      <c r="F219" s="130"/>
    </row>
    <row r="220" spans="2:44" ht="13.5">
      <c r="B220" s="16"/>
      <c r="C220" s="48" t="s">
        <v>176</v>
      </c>
      <c r="D220" s="55"/>
      <c r="E220" s="84">
        <v>25000</v>
      </c>
      <c r="F220" s="85">
        <v>50000</v>
      </c>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row>
    <row r="221" spans="2:6" ht="13.5">
      <c r="B221" s="16"/>
      <c r="C221" s="48"/>
      <c r="D221" s="55"/>
      <c r="E221" s="55"/>
      <c r="F221" s="130"/>
    </row>
    <row r="222" spans="2:7" ht="13.5">
      <c r="B222" s="16"/>
      <c r="C222" s="48" t="s">
        <v>316</v>
      </c>
      <c r="D222" s="55"/>
      <c r="E222" s="55"/>
      <c r="F222" s="130"/>
      <c r="G222" s="25" t="s">
        <v>177</v>
      </c>
    </row>
    <row r="223" spans="2:6" ht="13.5">
      <c r="B223" s="16"/>
      <c r="C223" s="193" t="s">
        <v>178</v>
      </c>
      <c r="D223" s="55"/>
      <c r="E223" s="23">
        <f>'Expenses - Website'!E47*'Expenses - Website'!E48*Staffing!C128</f>
        <v>27250.000000000004</v>
      </c>
      <c r="F223" s="112">
        <f>'Expenses - Website'!F47*'Expenses - Website'!F48*Staffing!D128</f>
        <v>64500.00000000001</v>
      </c>
    </row>
    <row r="224" spans="2:6" ht="13.5">
      <c r="B224" s="16"/>
      <c r="C224" s="193" t="s">
        <v>179</v>
      </c>
      <c r="D224" s="55"/>
      <c r="E224" s="23">
        <v>0</v>
      </c>
      <c r="F224" s="112">
        <f>E223</f>
        <v>27250.000000000004</v>
      </c>
    </row>
    <row r="225" spans="2:6" ht="13.5">
      <c r="B225" s="16"/>
      <c r="C225" s="193" t="s">
        <v>180</v>
      </c>
      <c r="D225" s="55"/>
      <c r="E225" s="23">
        <f>E223+E224</f>
        <v>27250.000000000004</v>
      </c>
      <c r="F225" s="112">
        <f>F223+F224</f>
        <v>91750.00000000001</v>
      </c>
    </row>
    <row r="226" spans="2:6" ht="13.5">
      <c r="B226" s="16"/>
      <c r="C226" s="48"/>
      <c r="D226" s="55"/>
      <c r="E226" s="55"/>
      <c r="F226" s="130"/>
    </row>
    <row r="227" spans="2:6" ht="13.5">
      <c r="B227" s="16"/>
      <c r="C227" s="48" t="s">
        <v>181</v>
      </c>
      <c r="D227" s="55"/>
      <c r="E227" s="84">
        <v>10000</v>
      </c>
      <c r="F227" s="85">
        <v>20000</v>
      </c>
    </row>
    <row r="228" spans="2:44" ht="13.5">
      <c r="B228" s="16"/>
      <c r="C228" s="48"/>
      <c r="D228" s="55"/>
      <c r="E228" s="55"/>
      <c r="F228" s="1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172"/>
    </row>
    <row r="229" spans="2:44" ht="13.5">
      <c r="B229" s="16"/>
      <c r="C229" s="48" t="s">
        <v>318</v>
      </c>
      <c r="D229" s="55"/>
      <c r="E229" s="23">
        <f>'Expenses - Website'!E52*('Expenses- BtoC'!E220+'Expenses- BtoC'!E225+'Expenses- BtoC'!E227)</f>
        <v>6225</v>
      </c>
      <c r="F229" s="112">
        <f>'Expenses - Website'!F52*('Expenses- BtoC'!F220+'Expenses- BtoC'!F225+'Expenses- BtoC'!F227)</f>
        <v>16175</v>
      </c>
      <c r="G229" s="25" t="s">
        <v>177</v>
      </c>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172"/>
    </row>
    <row r="230" spans="2:44" ht="13.5">
      <c r="B230" s="16"/>
      <c r="C230" s="17"/>
      <c r="D230" s="17"/>
      <c r="E230" s="17"/>
      <c r="F230" s="18"/>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row>
    <row r="231" spans="2:44" ht="15" thickBot="1">
      <c r="B231" s="19"/>
      <c r="C231" s="20"/>
      <c r="D231" s="20"/>
      <c r="E231" s="20"/>
      <c r="F231" s="21"/>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row>
    <row r="232" spans="9:44" ht="13.5">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row>
    <row r="233" spans="4:44" ht="13.5">
      <c r="D233" s="169" t="s">
        <v>196</v>
      </c>
      <c r="E233" s="169" t="s">
        <v>197</v>
      </c>
      <c r="F233" s="169" t="s">
        <v>198</v>
      </c>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row>
    <row r="234" spans="9:44" ht="13.5">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row>
    <row r="235" spans="2:44" ht="13.5">
      <c r="B235" s="25" t="s">
        <v>431</v>
      </c>
      <c r="D235" s="23">
        <v>0</v>
      </c>
      <c r="E235" s="23">
        <f>E204+E206+E211+E218+E220+E225+E227+E229</f>
        <v>1124988.875</v>
      </c>
      <c r="F235" s="23">
        <f>F204+F206+F211+F218+F220+F225+F227+F229</f>
        <v>2740998.4546875</v>
      </c>
      <c r="G235" s="182"/>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row>
    <row r="236" spans="4:44" ht="13.5">
      <c r="D236" s="23"/>
      <c r="E236" s="23"/>
      <c r="F236" s="23"/>
      <c r="G236" s="182"/>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row>
    <row r="237" spans="7:44" ht="13.5">
      <c r="G237" s="182"/>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row>
    <row r="238" spans="7:44" ht="13.5">
      <c r="G238" s="182"/>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row>
    <row r="239" spans="1:44" ht="13.5">
      <c r="A239" s="99" t="s">
        <v>104</v>
      </c>
      <c r="G239" s="182"/>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row>
    <row r="240" spans="1:44" ht="13.5">
      <c r="A240" s="99"/>
      <c r="B240" s="25" t="s">
        <v>105</v>
      </c>
      <c r="G240" s="182"/>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row>
    <row r="241" spans="1:44" ht="13.5">
      <c r="A241" s="99"/>
      <c r="B241" s="164" t="s">
        <v>106</v>
      </c>
      <c r="G241" s="182"/>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row>
    <row r="242" spans="7:44" ht="15" thickBot="1">
      <c r="G242" s="182"/>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row>
    <row r="243" spans="2:44" ht="13.5">
      <c r="B243" s="70" t="s">
        <v>408</v>
      </c>
      <c r="C243" s="71"/>
      <c r="D243" s="71"/>
      <c r="E243" s="71"/>
      <c r="F243" s="330"/>
      <c r="G243" s="182"/>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row>
    <row r="244" spans="2:44" ht="13.5">
      <c r="B244" s="16"/>
      <c r="C244" s="48"/>
      <c r="D244" s="55" t="s">
        <v>196</v>
      </c>
      <c r="E244" s="55" t="s">
        <v>197</v>
      </c>
      <c r="F244" s="130" t="s">
        <v>198</v>
      </c>
      <c r="G244" s="182"/>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row>
    <row r="245" spans="2:44" ht="13.5">
      <c r="B245" s="16"/>
      <c r="C245" s="48" t="s">
        <v>61</v>
      </c>
      <c r="D245" s="17"/>
      <c r="E245" s="84">
        <v>35000</v>
      </c>
      <c r="F245" s="85">
        <v>10000</v>
      </c>
      <c r="G245" s="182"/>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row>
    <row r="246" spans="2:44" ht="13.5">
      <c r="B246" s="16"/>
      <c r="C246" s="26"/>
      <c r="D246" s="11"/>
      <c r="E246" s="11"/>
      <c r="F246" s="166"/>
      <c r="G246" s="182"/>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row>
    <row r="247" spans="2:44" ht="15" thickBot="1">
      <c r="B247" s="19"/>
      <c r="C247" s="20"/>
      <c r="D247" s="20"/>
      <c r="E247" s="20"/>
      <c r="F247" s="21"/>
      <c r="G247" s="182"/>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row>
    <row r="248" spans="7:44" ht="13.5">
      <c r="G248" s="182"/>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row>
    <row r="249" spans="4:44" ht="13.5">
      <c r="D249" s="169" t="s">
        <v>196</v>
      </c>
      <c r="E249" s="169" t="s">
        <v>197</v>
      </c>
      <c r="F249" s="169" t="s">
        <v>198</v>
      </c>
      <c r="G249" s="182"/>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row>
    <row r="250" spans="7:44" ht="13.5">
      <c r="G250" s="182"/>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row>
    <row r="251" spans="2:44" ht="13.5">
      <c r="B251" s="25" t="s">
        <v>510</v>
      </c>
      <c r="D251" s="23"/>
      <c r="E251" s="23">
        <f>E245</f>
        <v>35000</v>
      </c>
      <c r="F251" s="23">
        <f>F245</f>
        <v>10000</v>
      </c>
      <c r="G251" s="182"/>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row>
    <row r="252" spans="7:44" ht="13.5">
      <c r="G252" s="182"/>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row>
    <row r="253" spans="7:44" ht="13.5">
      <c r="G253" s="182"/>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row>
    <row r="254" spans="7:44" ht="13.5">
      <c r="G254" s="182"/>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row>
    <row r="255" ht="13.5">
      <c r="A255" s="99" t="s">
        <v>114</v>
      </c>
    </row>
    <row r="256" spans="1:2" ht="13.5">
      <c r="A256" s="99"/>
      <c r="B256" s="164" t="s">
        <v>115</v>
      </c>
    </row>
    <row r="257" spans="1:2" ht="13.5">
      <c r="A257" s="99"/>
      <c r="B257" s="164" t="s">
        <v>116</v>
      </c>
    </row>
    <row r="258" spans="1:2" ht="13.5">
      <c r="A258" s="99"/>
      <c r="B258" s="164" t="s">
        <v>117</v>
      </c>
    </row>
    <row r="259" spans="1:2" ht="13.5">
      <c r="A259" s="99"/>
      <c r="B259" s="164" t="s">
        <v>118</v>
      </c>
    </row>
    <row r="260" ht="15" thickBot="1"/>
    <row r="261" spans="2:6" ht="13.5">
      <c r="B261" s="70" t="s">
        <v>408</v>
      </c>
      <c r="C261" s="71"/>
      <c r="D261" s="71"/>
      <c r="E261" s="71"/>
      <c r="F261" s="330"/>
    </row>
    <row r="262" spans="2:6" ht="13.5">
      <c r="B262" s="16"/>
      <c r="C262" s="48"/>
      <c r="D262" s="55" t="s">
        <v>196</v>
      </c>
      <c r="E262" s="55" t="s">
        <v>197</v>
      </c>
      <c r="F262" s="130" t="s">
        <v>198</v>
      </c>
    </row>
    <row r="263" spans="2:43" ht="13.5">
      <c r="B263" s="16"/>
      <c r="C263" s="48"/>
      <c r="D263" s="17"/>
      <c r="E263" s="11"/>
      <c r="F263" s="166"/>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row>
    <row r="264" spans="2:6" ht="13.5">
      <c r="B264" s="16"/>
      <c r="C264" s="26"/>
      <c r="D264" s="11"/>
      <c r="E264" s="11"/>
      <c r="F264" s="166"/>
    </row>
    <row r="265" spans="2:6" ht="15" thickBot="1">
      <c r="B265" s="19"/>
      <c r="C265" s="20"/>
      <c r="D265" s="20"/>
      <c r="E265" s="20"/>
      <c r="F265" s="21"/>
    </row>
    <row r="267" spans="4:6" ht="13.5">
      <c r="D267" s="169" t="s">
        <v>196</v>
      </c>
      <c r="E267" s="169" t="s">
        <v>197</v>
      </c>
      <c r="F267" s="169" t="s">
        <v>198</v>
      </c>
    </row>
    <row r="269" spans="2:43" ht="13.5">
      <c r="B269" s="25" t="s">
        <v>511</v>
      </c>
      <c r="D269" s="23">
        <v>0</v>
      </c>
      <c r="E269" s="23">
        <v>0</v>
      </c>
      <c r="F269" s="23">
        <v>0</v>
      </c>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row>
    <row r="273" spans="7:44" ht="13.5">
      <c r="G273" s="182"/>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row>
    <row r="274" spans="9:44" ht="13.5">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row>
    <row r="275" spans="9:44" ht="13.5">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row>
  </sheetData>
  <mergeCells count="1">
    <mergeCell ref="D145:F14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AS174"/>
  <sheetViews>
    <sheetView zoomScale="110" zoomScaleNormal="110" workbookViewId="0" topLeftCell="A14">
      <selection activeCell="F43" sqref="F43"/>
    </sheetView>
  </sheetViews>
  <sheetFormatPr defaultColWidth="11.57421875" defaultRowHeight="12.75"/>
  <cols>
    <col min="1" max="1" width="3.140625" style="25" customWidth="1"/>
    <col min="2" max="2" width="29.7109375" style="25" customWidth="1"/>
    <col min="3" max="3" width="11.421875" style="25" customWidth="1"/>
    <col min="4" max="5" width="11.28125" style="25" customWidth="1"/>
    <col min="6" max="6" width="33.7109375" style="25" customWidth="1"/>
    <col min="7" max="7" width="4.421875" style="25" customWidth="1"/>
    <col min="8" max="8" width="12.140625" style="25" customWidth="1"/>
    <col min="9" max="19" width="11.00390625" style="25" customWidth="1"/>
    <col min="20" max="20" width="11.140625" style="25" customWidth="1"/>
    <col min="21" max="31" width="11.00390625" style="25" customWidth="1"/>
    <col min="32" max="43" width="11.140625" style="25" customWidth="1"/>
    <col min="44" max="16384" width="11.421875" style="25" customWidth="1"/>
  </cols>
  <sheetData>
    <row r="2" spans="1:43" ht="13.5">
      <c r="A2" s="270" t="s">
        <v>56</v>
      </c>
      <c r="B2" s="231"/>
      <c r="C2" s="327" t="s">
        <v>196</v>
      </c>
      <c r="D2" s="327" t="s">
        <v>197</v>
      </c>
      <c r="E2" s="327" t="s">
        <v>198</v>
      </c>
      <c r="F2" s="328" t="s">
        <v>207</v>
      </c>
      <c r="H2" s="53" t="s">
        <v>196</v>
      </c>
      <c r="I2" s="54"/>
      <c r="J2" s="54"/>
      <c r="K2" s="54"/>
      <c r="L2" s="54"/>
      <c r="M2" s="54"/>
      <c r="N2" s="54"/>
      <c r="O2" s="54"/>
      <c r="P2" s="54"/>
      <c r="Q2" s="54"/>
      <c r="R2" s="54"/>
      <c r="S2" s="39"/>
      <c r="T2" s="53" t="s">
        <v>197</v>
      </c>
      <c r="U2" s="54"/>
      <c r="V2" s="54"/>
      <c r="W2" s="54"/>
      <c r="X2" s="54"/>
      <c r="Y2" s="54"/>
      <c r="Z2" s="54"/>
      <c r="AA2" s="54"/>
      <c r="AB2" s="54"/>
      <c r="AC2" s="54"/>
      <c r="AD2" s="54"/>
      <c r="AE2" s="39"/>
      <c r="AF2" s="53" t="s">
        <v>198</v>
      </c>
      <c r="AG2" s="54"/>
      <c r="AH2" s="54"/>
      <c r="AI2" s="54"/>
      <c r="AJ2" s="54"/>
      <c r="AK2" s="54"/>
      <c r="AL2" s="54"/>
      <c r="AM2" s="54"/>
      <c r="AN2" s="54"/>
      <c r="AO2" s="54"/>
      <c r="AP2" s="54"/>
      <c r="AQ2" s="39"/>
    </row>
    <row r="3" spans="1:43" ht="13.5">
      <c r="A3" s="32"/>
      <c r="B3" s="26"/>
      <c r="C3" s="26"/>
      <c r="D3" s="26"/>
      <c r="E3" s="26"/>
      <c r="F3" s="108"/>
      <c r="H3" s="40" t="s">
        <v>200</v>
      </c>
      <c r="I3" s="41" t="s">
        <v>201</v>
      </c>
      <c r="J3" s="41" t="s">
        <v>202</v>
      </c>
      <c r="K3" s="41" t="s">
        <v>203</v>
      </c>
      <c r="L3" s="41" t="s">
        <v>477</v>
      </c>
      <c r="M3" s="41" t="s">
        <v>357</v>
      </c>
      <c r="N3" s="41" t="s">
        <v>358</v>
      </c>
      <c r="O3" s="41" t="s">
        <v>359</v>
      </c>
      <c r="P3" s="41" t="s">
        <v>360</v>
      </c>
      <c r="Q3" s="41" t="s">
        <v>361</v>
      </c>
      <c r="R3" s="41" t="s">
        <v>362</v>
      </c>
      <c r="S3" s="41" t="s">
        <v>363</v>
      </c>
      <c r="T3" s="41" t="s">
        <v>200</v>
      </c>
      <c r="U3" s="41" t="s">
        <v>201</v>
      </c>
      <c r="V3" s="41" t="s">
        <v>202</v>
      </c>
      <c r="W3" s="41" t="s">
        <v>203</v>
      </c>
      <c r="X3" s="41" t="s">
        <v>477</v>
      </c>
      <c r="Y3" s="41" t="s">
        <v>357</v>
      </c>
      <c r="Z3" s="41" t="s">
        <v>358</v>
      </c>
      <c r="AA3" s="41" t="s">
        <v>359</v>
      </c>
      <c r="AB3" s="41" t="s">
        <v>360</v>
      </c>
      <c r="AC3" s="41" t="s">
        <v>361</v>
      </c>
      <c r="AD3" s="41" t="s">
        <v>362</v>
      </c>
      <c r="AE3" s="41" t="s">
        <v>363</v>
      </c>
      <c r="AF3" s="43" t="s">
        <v>200</v>
      </c>
      <c r="AG3" s="43" t="s">
        <v>201</v>
      </c>
      <c r="AH3" s="43" t="s">
        <v>202</v>
      </c>
      <c r="AI3" s="43" t="s">
        <v>203</v>
      </c>
      <c r="AJ3" s="43" t="s">
        <v>477</v>
      </c>
      <c r="AK3" s="43" t="s">
        <v>357</v>
      </c>
      <c r="AL3" s="43" t="s">
        <v>358</v>
      </c>
      <c r="AM3" s="43" t="s">
        <v>359</v>
      </c>
      <c r="AN3" s="43" t="s">
        <v>360</v>
      </c>
      <c r="AO3" s="43" t="s">
        <v>361</v>
      </c>
      <c r="AP3" s="43" t="s">
        <v>362</v>
      </c>
      <c r="AQ3" s="106" t="s">
        <v>363</v>
      </c>
    </row>
    <row r="4" spans="1:43" ht="13.5">
      <c r="A4" s="32" t="s">
        <v>262</v>
      </c>
      <c r="B4" s="26"/>
      <c r="C4" s="153">
        <f>C41</f>
        <v>9560</v>
      </c>
      <c r="D4" s="153">
        <f>D41</f>
        <v>47902.4</v>
      </c>
      <c r="E4" s="153">
        <f>E41</f>
        <v>91728</v>
      </c>
      <c r="F4" s="108" t="str">
        <f>'Revenue - B-to-C'!F4</f>
        <v>year 1 launch</v>
      </c>
      <c r="H4" s="111">
        <f>C4/12</f>
        <v>796.6666666666666</v>
      </c>
      <c r="I4" s="23">
        <f>$C$4/12</f>
        <v>796.6666666666666</v>
      </c>
      <c r="J4" s="23">
        <f aca="true" t="shared" si="0" ref="J4:S4">$C$4/12</f>
        <v>796.6666666666666</v>
      </c>
      <c r="K4" s="23">
        <f t="shared" si="0"/>
        <v>796.6666666666666</v>
      </c>
      <c r="L4" s="23">
        <f t="shared" si="0"/>
        <v>796.6666666666666</v>
      </c>
      <c r="M4" s="23">
        <f t="shared" si="0"/>
        <v>796.6666666666666</v>
      </c>
      <c r="N4" s="23">
        <f t="shared" si="0"/>
        <v>796.6666666666666</v>
      </c>
      <c r="O4" s="23">
        <f t="shared" si="0"/>
        <v>796.6666666666666</v>
      </c>
      <c r="P4" s="23">
        <f t="shared" si="0"/>
        <v>796.6666666666666</v>
      </c>
      <c r="Q4" s="23">
        <f t="shared" si="0"/>
        <v>796.6666666666666</v>
      </c>
      <c r="R4" s="23">
        <f t="shared" si="0"/>
        <v>796.6666666666666</v>
      </c>
      <c r="S4" s="23">
        <f t="shared" si="0"/>
        <v>796.6666666666666</v>
      </c>
      <c r="T4" s="23">
        <f>$D$4/12</f>
        <v>3991.866666666667</v>
      </c>
      <c r="U4" s="23">
        <f aca="true" t="shared" si="1" ref="U4:AE4">$D$4/12</f>
        <v>3991.866666666667</v>
      </c>
      <c r="V4" s="23">
        <f t="shared" si="1"/>
        <v>3991.866666666667</v>
      </c>
      <c r="W4" s="23">
        <f t="shared" si="1"/>
        <v>3991.866666666667</v>
      </c>
      <c r="X4" s="23">
        <f t="shared" si="1"/>
        <v>3991.866666666667</v>
      </c>
      <c r="Y4" s="23">
        <f t="shared" si="1"/>
        <v>3991.866666666667</v>
      </c>
      <c r="Z4" s="23">
        <f t="shared" si="1"/>
        <v>3991.866666666667</v>
      </c>
      <c r="AA4" s="23">
        <f t="shared" si="1"/>
        <v>3991.866666666667</v>
      </c>
      <c r="AB4" s="23">
        <f t="shared" si="1"/>
        <v>3991.866666666667</v>
      </c>
      <c r="AC4" s="23">
        <f t="shared" si="1"/>
        <v>3991.866666666667</v>
      </c>
      <c r="AD4" s="23">
        <f t="shared" si="1"/>
        <v>3991.866666666667</v>
      </c>
      <c r="AE4" s="23">
        <f t="shared" si="1"/>
        <v>3991.866666666667</v>
      </c>
      <c r="AF4" s="23">
        <f>$E$4/12</f>
        <v>7644</v>
      </c>
      <c r="AG4" s="23">
        <f aca="true" t="shared" si="2" ref="AG4:AQ4">$E$4/12</f>
        <v>7644</v>
      </c>
      <c r="AH4" s="23">
        <f t="shared" si="2"/>
        <v>7644</v>
      </c>
      <c r="AI4" s="23">
        <f t="shared" si="2"/>
        <v>7644</v>
      </c>
      <c r="AJ4" s="23">
        <f t="shared" si="2"/>
        <v>7644</v>
      </c>
      <c r="AK4" s="23">
        <f t="shared" si="2"/>
        <v>7644</v>
      </c>
      <c r="AL4" s="23">
        <f t="shared" si="2"/>
        <v>7644</v>
      </c>
      <c r="AM4" s="23">
        <f t="shared" si="2"/>
        <v>7644</v>
      </c>
      <c r="AN4" s="23">
        <f t="shared" si="2"/>
        <v>7644</v>
      </c>
      <c r="AO4" s="23">
        <f t="shared" si="2"/>
        <v>7644</v>
      </c>
      <c r="AP4" s="23">
        <f t="shared" si="2"/>
        <v>7644</v>
      </c>
      <c r="AQ4" s="112">
        <f t="shared" si="2"/>
        <v>7644</v>
      </c>
    </row>
    <row r="5" spans="1:43" ht="13.5">
      <c r="A5" s="32"/>
      <c r="B5" s="26"/>
      <c r="C5" s="26"/>
      <c r="D5" s="26"/>
      <c r="E5" s="26"/>
      <c r="F5" s="108"/>
      <c r="H5" s="40"/>
      <c r="I5" s="41"/>
      <c r="J5" s="41"/>
      <c r="K5" s="41"/>
      <c r="L5" s="41"/>
      <c r="M5" s="41"/>
      <c r="N5" s="41"/>
      <c r="O5" s="41"/>
      <c r="P5" s="41"/>
      <c r="Q5" s="41"/>
      <c r="R5" s="41"/>
      <c r="S5" s="41"/>
      <c r="T5" s="41"/>
      <c r="U5" s="41"/>
      <c r="V5" s="41"/>
      <c r="W5" s="41"/>
      <c r="X5" s="41"/>
      <c r="Y5" s="41"/>
      <c r="Z5" s="41"/>
      <c r="AA5" s="41"/>
      <c r="AB5" s="41"/>
      <c r="AC5" s="41"/>
      <c r="AD5" s="41"/>
      <c r="AE5" s="41"/>
      <c r="AF5" s="43"/>
      <c r="AG5" s="43"/>
      <c r="AH5" s="43"/>
      <c r="AI5" s="43"/>
      <c r="AJ5" s="43"/>
      <c r="AK5" s="43"/>
      <c r="AL5" s="43"/>
      <c r="AM5" s="43"/>
      <c r="AN5" s="43"/>
      <c r="AO5" s="43"/>
      <c r="AP5" s="43"/>
      <c r="AQ5" s="106"/>
    </row>
    <row r="6" spans="1:43" ht="13.5">
      <c r="A6" s="32" t="s">
        <v>263</v>
      </c>
      <c r="B6" s="26"/>
      <c r="C6" s="23">
        <f>C53</f>
        <v>116650</v>
      </c>
      <c r="D6" s="23">
        <f>D53</f>
        <v>161450</v>
      </c>
      <c r="E6" s="23">
        <f>E53</f>
        <v>160677.5</v>
      </c>
      <c r="F6" s="108" t="str">
        <f>'Revenue - B-to-C'!F6</f>
        <v>year 1 launch</v>
      </c>
      <c r="H6" s="111">
        <f>C6/12</f>
        <v>9720.833333333334</v>
      </c>
      <c r="I6" s="23">
        <f>$C$6/12</f>
        <v>9720.833333333334</v>
      </c>
      <c r="J6" s="23">
        <f aca="true" t="shared" si="3" ref="J6:S6">$C$6/12</f>
        <v>9720.833333333334</v>
      </c>
      <c r="K6" s="23">
        <f t="shared" si="3"/>
        <v>9720.833333333334</v>
      </c>
      <c r="L6" s="23">
        <f t="shared" si="3"/>
        <v>9720.833333333334</v>
      </c>
      <c r="M6" s="23">
        <f t="shared" si="3"/>
        <v>9720.833333333334</v>
      </c>
      <c r="N6" s="23">
        <f t="shared" si="3"/>
        <v>9720.833333333334</v>
      </c>
      <c r="O6" s="23">
        <f t="shared" si="3"/>
        <v>9720.833333333334</v>
      </c>
      <c r="P6" s="23">
        <f t="shared" si="3"/>
        <v>9720.833333333334</v>
      </c>
      <c r="Q6" s="23">
        <f t="shared" si="3"/>
        <v>9720.833333333334</v>
      </c>
      <c r="R6" s="23">
        <f t="shared" si="3"/>
        <v>9720.833333333334</v>
      </c>
      <c r="S6" s="23">
        <f t="shared" si="3"/>
        <v>9720.833333333334</v>
      </c>
      <c r="T6" s="23">
        <f>$D$6/12</f>
        <v>13454.166666666666</v>
      </c>
      <c r="U6" s="23">
        <f aca="true" t="shared" si="4" ref="U6:AE6">$D$6/12</f>
        <v>13454.166666666666</v>
      </c>
      <c r="V6" s="23">
        <f t="shared" si="4"/>
        <v>13454.166666666666</v>
      </c>
      <c r="W6" s="23">
        <f t="shared" si="4"/>
        <v>13454.166666666666</v>
      </c>
      <c r="X6" s="23">
        <f t="shared" si="4"/>
        <v>13454.166666666666</v>
      </c>
      <c r="Y6" s="23">
        <f t="shared" si="4"/>
        <v>13454.166666666666</v>
      </c>
      <c r="Z6" s="23">
        <f t="shared" si="4"/>
        <v>13454.166666666666</v>
      </c>
      <c r="AA6" s="23">
        <f t="shared" si="4"/>
        <v>13454.166666666666</v>
      </c>
      <c r="AB6" s="23">
        <f t="shared" si="4"/>
        <v>13454.166666666666</v>
      </c>
      <c r="AC6" s="23">
        <f t="shared" si="4"/>
        <v>13454.166666666666</v>
      </c>
      <c r="AD6" s="23">
        <f t="shared" si="4"/>
        <v>13454.166666666666</v>
      </c>
      <c r="AE6" s="23">
        <f t="shared" si="4"/>
        <v>13454.166666666666</v>
      </c>
      <c r="AF6" s="23">
        <f>$E$6/12</f>
        <v>13389.791666666666</v>
      </c>
      <c r="AG6" s="23">
        <f aca="true" t="shared" si="5" ref="AG6:AQ6">$E$6/12</f>
        <v>13389.791666666666</v>
      </c>
      <c r="AH6" s="23">
        <f t="shared" si="5"/>
        <v>13389.791666666666</v>
      </c>
      <c r="AI6" s="23">
        <f t="shared" si="5"/>
        <v>13389.791666666666</v>
      </c>
      <c r="AJ6" s="23">
        <f t="shared" si="5"/>
        <v>13389.791666666666</v>
      </c>
      <c r="AK6" s="23">
        <f t="shared" si="5"/>
        <v>13389.791666666666</v>
      </c>
      <c r="AL6" s="23">
        <f t="shared" si="5"/>
        <v>13389.791666666666</v>
      </c>
      <c r="AM6" s="23">
        <f t="shared" si="5"/>
        <v>13389.791666666666</v>
      </c>
      <c r="AN6" s="23">
        <f t="shared" si="5"/>
        <v>13389.791666666666</v>
      </c>
      <c r="AO6" s="23">
        <f t="shared" si="5"/>
        <v>13389.791666666666</v>
      </c>
      <c r="AP6" s="23">
        <f t="shared" si="5"/>
        <v>13389.791666666666</v>
      </c>
      <c r="AQ6" s="112">
        <f t="shared" si="5"/>
        <v>13389.791666666666</v>
      </c>
    </row>
    <row r="7" spans="1:43" ht="13.5">
      <c r="A7" s="32"/>
      <c r="B7" s="26"/>
      <c r="C7" s="37"/>
      <c r="D7" s="37"/>
      <c r="E7" s="37"/>
      <c r="F7" s="108"/>
      <c r="H7" s="154"/>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155"/>
    </row>
    <row r="8" spans="1:43" ht="13.5">
      <c r="A8" s="32" t="s">
        <v>264</v>
      </c>
      <c r="B8" s="156"/>
      <c r="C8" s="23">
        <f>C66</f>
        <v>47500</v>
      </c>
      <c r="D8" s="23">
        <f>D66</f>
        <v>88500</v>
      </c>
      <c r="E8" s="23">
        <f>E66</f>
        <v>109655</v>
      </c>
      <c r="F8" s="108" t="str">
        <f>'Revenue - B-to-C'!F8</f>
        <v>year 1 launch</v>
      </c>
      <c r="H8" s="111">
        <f>C8/12</f>
        <v>3958.3333333333335</v>
      </c>
      <c r="I8" s="23">
        <f aca="true" t="shared" si="6" ref="I8:S8">$C$8/12</f>
        <v>3958.3333333333335</v>
      </c>
      <c r="J8" s="23">
        <f t="shared" si="6"/>
        <v>3958.3333333333335</v>
      </c>
      <c r="K8" s="23">
        <f t="shared" si="6"/>
        <v>3958.3333333333335</v>
      </c>
      <c r="L8" s="23">
        <f t="shared" si="6"/>
        <v>3958.3333333333335</v>
      </c>
      <c r="M8" s="23">
        <f t="shared" si="6"/>
        <v>3958.3333333333335</v>
      </c>
      <c r="N8" s="23">
        <f t="shared" si="6"/>
        <v>3958.3333333333335</v>
      </c>
      <c r="O8" s="23">
        <f t="shared" si="6"/>
        <v>3958.3333333333335</v>
      </c>
      <c r="P8" s="23">
        <f t="shared" si="6"/>
        <v>3958.3333333333335</v>
      </c>
      <c r="Q8" s="23">
        <f t="shared" si="6"/>
        <v>3958.3333333333335</v>
      </c>
      <c r="R8" s="23">
        <f t="shared" si="6"/>
        <v>3958.3333333333335</v>
      </c>
      <c r="S8" s="23">
        <f t="shared" si="6"/>
        <v>3958.3333333333335</v>
      </c>
      <c r="T8" s="23">
        <f aca="true" t="shared" si="7" ref="T8:AE8">$D$8/12</f>
        <v>7375</v>
      </c>
      <c r="U8" s="23">
        <f t="shared" si="7"/>
        <v>7375</v>
      </c>
      <c r="V8" s="23">
        <f t="shared" si="7"/>
        <v>7375</v>
      </c>
      <c r="W8" s="23">
        <f t="shared" si="7"/>
        <v>7375</v>
      </c>
      <c r="X8" s="23">
        <f t="shared" si="7"/>
        <v>7375</v>
      </c>
      <c r="Y8" s="23">
        <f t="shared" si="7"/>
        <v>7375</v>
      </c>
      <c r="Z8" s="23">
        <f t="shared" si="7"/>
        <v>7375</v>
      </c>
      <c r="AA8" s="23">
        <f t="shared" si="7"/>
        <v>7375</v>
      </c>
      <c r="AB8" s="23">
        <f t="shared" si="7"/>
        <v>7375</v>
      </c>
      <c r="AC8" s="23">
        <f t="shared" si="7"/>
        <v>7375</v>
      </c>
      <c r="AD8" s="23">
        <f t="shared" si="7"/>
        <v>7375</v>
      </c>
      <c r="AE8" s="23">
        <f t="shared" si="7"/>
        <v>7375</v>
      </c>
      <c r="AF8" s="23">
        <f aca="true" t="shared" si="8" ref="AF8:AQ8">$E$8/12</f>
        <v>9137.916666666666</v>
      </c>
      <c r="AG8" s="23">
        <f t="shared" si="8"/>
        <v>9137.916666666666</v>
      </c>
      <c r="AH8" s="23">
        <f t="shared" si="8"/>
        <v>9137.916666666666</v>
      </c>
      <c r="AI8" s="23">
        <f t="shared" si="8"/>
        <v>9137.916666666666</v>
      </c>
      <c r="AJ8" s="23">
        <f t="shared" si="8"/>
        <v>9137.916666666666</v>
      </c>
      <c r="AK8" s="23">
        <f t="shared" si="8"/>
        <v>9137.916666666666</v>
      </c>
      <c r="AL8" s="23">
        <f t="shared" si="8"/>
        <v>9137.916666666666</v>
      </c>
      <c r="AM8" s="23">
        <f t="shared" si="8"/>
        <v>9137.916666666666</v>
      </c>
      <c r="AN8" s="23">
        <f t="shared" si="8"/>
        <v>9137.916666666666</v>
      </c>
      <c r="AO8" s="23">
        <f t="shared" si="8"/>
        <v>9137.916666666666</v>
      </c>
      <c r="AP8" s="23">
        <f t="shared" si="8"/>
        <v>9137.916666666666</v>
      </c>
      <c r="AQ8" s="112">
        <f t="shared" si="8"/>
        <v>9137.916666666666</v>
      </c>
    </row>
    <row r="9" spans="1:43" ht="13.5">
      <c r="A9" s="32"/>
      <c r="B9" s="156"/>
      <c r="C9" s="26"/>
      <c r="D9" s="26"/>
      <c r="E9" s="26"/>
      <c r="F9" s="108"/>
      <c r="H9" s="32"/>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108"/>
    </row>
    <row r="10" spans="1:45" ht="13.5">
      <c r="A10" s="32" t="s">
        <v>390</v>
      </c>
      <c r="B10" s="26"/>
      <c r="C10" s="23">
        <f>C79</f>
        <v>67000</v>
      </c>
      <c r="D10" s="23">
        <f>D79</f>
        <v>72000</v>
      </c>
      <c r="E10" s="23">
        <f>E79</f>
        <v>72000</v>
      </c>
      <c r="F10" s="108" t="str">
        <f>'Revenue - B-to-C'!F10</f>
        <v>year 1 launch</v>
      </c>
      <c r="H10" s="111">
        <f>C10/12</f>
        <v>5583.333333333333</v>
      </c>
      <c r="I10" s="23">
        <f aca="true" t="shared" si="9" ref="I10:S10">$C$10/12</f>
        <v>5583.333333333333</v>
      </c>
      <c r="J10" s="23">
        <f t="shared" si="9"/>
        <v>5583.333333333333</v>
      </c>
      <c r="K10" s="23">
        <f t="shared" si="9"/>
        <v>5583.333333333333</v>
      </c>
      <c r="L10" s="23">
        <f t="shared" si="9"/>
        <v>5583.333333333333</v>
      </c>
      <c r="M10" s="23">
        <f t="shared" si="9"/>
        <v>5583.333333333333</v>
      </c>
      <c r="N10" s="23">
        <f t="shared" si="9"/>
        <v>5583.333333333333</v>
      </c>
      <c r="O10" s="23">
        <f t="shared" si="9"/>
        <v>5583.333333333333</v>
      </c>
      <c r="P10" s="23">
        <f t="shared" si="9"/>
        <v>5583.333333333333</v>
      </c>
      <c r="Q10" s="23">
        <f t="shared" si="9"/>
        <v>5583.333333333333</v>
      </c>
      <c r="R10" s="23">
        <f t="shared" si="9"/>
        <v>5583.333333333333</v>
      </c>
      <c r="S10" s="23">
        <f t="shared" si="9"/>
        <v>5583.333333333333</v>
      </c>
      <c r="T10" s="23">
        <f aca="true" t="shared" si="10" ref="T10:AE10">$D$10/12</f>
        <v>6000</v>
      </c>
      <c r="U10" s="23">
        <f t="shared" si="10"/>
        <v>6000</v>
      </c>
      <c r="V10" s="23">
        <f t="shared" si="10"/>
        <v>6000</v>
      </c>
      <c r="W10" s="23">
        <f t="shared" si="10"/>
        <v>6000</v>
      </c>
      <c r="X10" s="23">
        <f t="shared" si="10"/>
        <v>6000</v>
      </c>
      <c r="Y10" s="23">
        <f t="shared" si="10"/>
        <v>6000</v>
      </c>
      <c r="Z10" s="23">
        <f t="shared" si="10"/>
        <v>6000</v>
      </c>
      <c r="AA10" s="23">
        <f t="shared" si="10"/>
        <v>6000</v>
      </c>
      <c r="AB10" s="23">
        <f t="shared" si="10"/>
        <v>6000</v>
      </c>
      <c r="AC10" s="23">
        <f t="shared" si="10"/>
        <v>6000</v>
      </c>
      <c r="AD10" s="23">
        <f t="shared" si="10"/>
        <v>6000</v>
      </c>
      <c r="AE10" s="23">
        <f t="shared" si="10"/>
        <v>6000</v>
      </c>
      <c r="AF10" s="23">
        <f aca="true" t="shared" si="11" ref="AF10:AQ10">$E$10/12</f>
        <v>6000</v>
      </c>
      <c r="AG10" s="23">
        <f t="shared" si="11"/>
        <v>6000</v>
      </c>
      <c r="AH10" s="23">
        <f t="shared" si="11"/>
        <v>6000</v>
      </c>
      <c r="AI10" s="23">
        <f t="shared" si="11"/>
        <v>6000</v>
      </c>
      <c r="AJ10" s="23">
        <f t="shared" si="11"/>
        <v>6000</v>
      </c>
      <c r="AK10" s="23">
        <f t="shared" si="11"/>
        <v>6000</v>
      </c>
      <c r="AL10" s="23">
        <f t="shared" si="11"/>
        <v>6000</v>
      </c>
      <c r="AM10" s="23">
        <f t="shared" si="11"/>
        <v>6000</v>
      </c>
      <c r="AN10" s="23">
        <f t="shared" si="11"/>
        <v>6000</v>
      </c>
      <c r="AO10" s="23">
        <f t="shared" si="11"/>
        <v>6000</v>
      </c>
      <c r="AP10" s="23">
        <f t="shared" si="11"/>
        <v>6000</v>
      </c>
      <c r="AQ10" s="112">
        <f t="shared" si="11"/>
        <v>6000</v>
      </c>
      <c r="AR10" s="157"/>
      <c r="AS10" s="157"/>
    </row>
    <row r="11" spans="1:45" ht="13.5">
      <c r="A11" s="32"/>
      <c r="B11" s="26"/>
      <c r="C11" s="23"/>
      <c r="D11" s="23"/>
      <c r="E11" s="23"/>
      <c r="F11" s="108"/>
      <c r="H11" s="11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112"/>
      <c r="AR11" s="157"/>
      <c r="AS11" s="157"/>
    </row>
    <row r="12" spans="1:45" ht="13.5">
      <c r="A12" s="32" t="s">
        <v>391</v>
      </c>
      <c r="B12" s="26"/>
      <c r="C12" s="23">
        <f>C91</f>
        <v>23200</v>
      </c>
      <c r="D12" s="23">
        <f>D91</f>
        <v>29400</v>
      </c>
      <c r="E12" s="23">
        <f>E91</f>
        <v>36400</v>
      </c>
      <c r="F12" s="108" t="str">
        <f>'Revenue - B-to-C'!F12</f>
        <v>year 1 launch</v>
      </c>
      <c r="H12" s="111">
        <f>C12/12</f>
        <v>1933.3333333333333</v>
      </c>
      <c r="I12" s="23">
        <f aca="true" t="shared" si="12" ref="I12:S12">$C$12/12</f>
        <v>1933.3333333333333</v>
      </c>
      <c r="J12" s="23">
        <f t="shared" si="12"/>
        <v>1933.3333333333333</v>
      </c>
      <c r="K12" s="23">
        <f t="shared" si="12"/>
        <v>1933.3333333333333</v>
      </c>
      <c r="L12" s="23">
        <f t="shared" si="12"/>
        <v>1933.3333333333333</v>
      </c>
      <c r="M12" s="23">
        <f t="shared" si="12"/>
        <v>1933.3333333333333</v>
      </c>
      <c r="N12" s="23">
        <f t="shared" si="12"/>
        <v>1933.3333333333333</v>
      </c>
      <c r="O12" s="23">
        <f t="shared" si="12"/>
        <v>1933.3333333333333</v>
      </c>
      <c r="P12" s="23">
        <f t="shared" si="12"/>
        <v>1933.3333333333333</v>
      </c>
      <c r="Q12" s="23">
        <f t="shared" si="12"/>
        <v>1933.3333333333333</v>
      </c>
      <c r="R12" s="23">
        <f t="shared" si="12"/>
        <v>1933.3333333333333</v>
      </c>
      <c r="S12" s="23">
        <f t="shared" si="12"/>
        <v>1933.3333333333333</v>
      </c>
      <c r="T12" s="23">
        <f aca="true" t="shared" si="13" ref="T12:AE12">$D$12/12</f>
        <v>2450</v>
      </c>
      <c r="U12" s="23">
        <f t="shared" si="13"/>
        <v>2450</v>
      </c>
      <c r="V12" s="23">
        <f t="shared" si="13"/>
        <v>2450</v>
      </c>
      <c r="W12" s="23">
        <f t="shared" si="13"/>
        <v>2450</v>
      </c>
      <c r="X12" s="23">
        <f t="shared" si="13"/>
        <v>2450</v>
      </c>
      <c r="Y12" s="23">
        <f t="shared" si="13"/>
        <v>2450</v>
      </c>
      <c r="Z12" s="23">
        <f t="shared" si="13"/>
        <v>2450</v>
      </c>
      <c r="AA12" s="23">
        <f t="shared" si="13"/>
        <v>2450</v>
      </c>
      <c r="AB12" s="23">
        <f t="shared" si="13"/>
        <v>2450</v>
      </c>
      <c r="AC12" s="23">
        <f t="shared" si="13"/>
        <v>2450</v>
      </c>
      <c r="AD12" s="23">
        <f t="shared" si="13"/>
        <v>2450</v>
      </c>
      <c r="AE12" s="23">
        <f t="shared" si="13"/>
        <v>2450</v>
      </c>
      <c r="AF12" s="23">
        <f aca="true" t="shared" si="14" ref="AF12:AQ12">$E$12/12</f>
        <v>3033.3333333333335</v>
      </c>
      <c r="AG12" s="23">
        <f t="shared" si="14"/>
        <v>3033.3333333333335</v>
      </c>
      <c r="AH12" s="23">
        <f t="shared" si="14"/>
        <v>3033.3333333333335</v>
      </c>
      <c r="AI12" s="23">
        <f t="shared" si="14"/>
        <v>3033.3333333333335</v>
      </c>
      <c r="AJ12" s="23">
        <f t="shared" si="14"/>
        <v>3033.3333333333335</v>
      </c>
      <c r="AK12" s="23">
        <f t="shared" si="14"/>
        <v>3033.3333333333335</v>
      </c>
      <c r="AL12" s="23">
        <f t="shared" si="14"/>
        <v>3033.3333333333335</v>
      </c>
      <c r="AM12" s="23">
        <f t="shared" si="14"/>
        <v>3033.3333333333335</v>
      </c>
      <c r="AN12" s="23">
        <f t="shared" si="14"/>
        <v>3033.3333333333335</v>
      </c>
      <c r="AO12" s="23">
        <f t="shared" si="14"/>
        <v>3033.3333333333335</v>
      </c>
      <c r="AP12" s="23">
        <f t="shared" si="14"/>
        <v>3033.3333333333335</v>
      </c>
      <c r="AQ12" s="112">
        <f t="shared" si="14"/>
        <v>3033.3333333333335</v>
      </c>
      <c r="AR12" s="157"/>
      <c r="AS12" s="157"/>
    </row>
    <row r="13" spans="1:45" ht="13.5">
      <c r="A13" s="32"/>
      <c r="B13" s="26"/>
      <c r="C13" s="23"/>
      <c r="D13" s="23"/>
      <c r="E13" s="23"/>
      <c r="F13" s="108"/>
      <c r="H13" s="11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112"/>
      <c r="AR13" s="157"/>
      <c r="AS13" s="157"/>
    </row>
    <row r="14" spans="1:45" ht="13.5">
      <c r="A14" s="32" t="s">
        <v>392</v>
      </c>
      <c r="B14" s="26"/>
      <c r="C14" s="23">
        <f>C103</f>
        <v>6000</v>
      </c>
      <c r="D14" s="23">
        <f>D103</f>
        <v>28200</v>
      </c>
      <c r="E14" s="23">
        <f>E103</f>
        <v>105000</v>
      </c>
      <c r="F14" s="108" t="str">
        <f>'Revenue - B-to-C'!F14</f>
        <v>year 1 launch</v>
      </c>
      <c r="H14" s="111">
        <f>C14/12</f>
        <v>500</v>
      </c>
      <c r="I14" s="23">
        <f>$C$14/12</f>
        <v>500</v>
      </c>
      <c r="J14" s="23">
        <f aca="true" t="shared" si="15" ref="J14:S14">$C$14/12</f>
        <v>500</v>
      </c>
      <c r="K14" s="23">
        <f t="shared" si="15"/>
        <v>500</v>
      </c>
      <c r="L14" s="23">
        <f t="shared" si="15"/>
        <v>500</v>
      </c>
      <c r="M14" s="23">
        <f t="shared" si="15"/>
        <v>500</v>
      </c>
      <c r="N14" s="23">
        <f t="shared" si="15"/>
        <v>500</v>
      </c>
      <c r="O14" s="23">
        <f t="shared" si="15"/>
        <v>500</v>
      </c>
      <c r="P14" s="23">
        <f t="shared" si="15"/>
        <v>500</v>
      </c>
      <c r="Q14" s="23">
        <f t="shared" si="15"/>
        <v>500</v>
      </c>
      <c r="R14" s="23">
        <f t="shared" si="15"/>
        <v>500</v>
      </c>
      <c r="S14" s="23">
        <f t="shared" si="15"/>
        <v>500</v>
      </c>
      <c r="T14" s="23">
        <f>$D$14/12</f>
        <v>2350</v>
      </c>
      <c r="U14" s="23">
        <f aca="true" t="shared" si="16" ref="U14:AE14">$D$14/12</f>
        <v>2350</v>
      </c>
      <c r="V14" s="23">
        <f t="shared" si="16"/>
        <v>2350</v>
      </c>
      <c r="W14" s="23">
        <f t="shared" si="16"/>
        <v>2350</v>
      </c>
      <c r="X14" s="23">
        <f t="shared" si="16"/>
        <v>2350</v>
      </c>
      <c r="Y14" s="23">
        <f t="shared" si="16"/>
        <v>2350</v>
      </c>
      <c r="Z14" s="23">
        <f t="shared" si="16"/>
        <v>2350</v>
      </c>
      <c r="AA14" s="23">
        <f t="shared" si="16"/>
        <v>2350</v>
      </c>
      <c r="AB14" s="23">
        <f t="shared" si="16"/>
        <v>2350</v>
      </c>
      <c r="AC14" s="23">
        <f t="shared" si="16"/>
        <v>2350</v>
      </c>
      <c r="AD14" s="23">
        <f t="shared" si="16"/>
        <v>2350</v>
      </c>
      <c r="AE14" s="23">
        <f t="shared" si="16"/>
        <v>2350</v>
      </c>
      <c r="AF14" s="23">
        <f>$E$14/12</f>
        <v>8750</v>
      </c>
      <c r="AG14" s="23">
        <f aca="true" t="shared" si="17" ref="AG14:AQ14">$E$14/12</f>
        <v>8750</v>
      </c>
      <c r="AH14" s="23">
        <f t="shared" si="17"/>
        <v>8750</v>
      </c>
      <c r="AI14" s="23">
        <f t="shared" si="17"/>
        <v>8750</v>
      </c>
      <c r="AJ14" s="23">
        <f t="shared" si="17"/>
        <v>8750</v>
      </c>
      <c r="AK14" s="23">
        <f t="shared" si="17"/>
        <v>8750</v>
      </c>
      <c r="AL14" s="23">
        <f t="shared" si="17"/>
        <v>8750</v>
      </c>
      <c r="AM14" s="23">
        <f t="shared" si="17"/>
        <v>8750</v>
      </c>
      <c r="AN14" s="23">
        <f t="shared" si="17"/>
        <v>8750</v>
      </c>
      <c r="AO14" s="23">
        <f t="shared" si="17"/>
        <v>8750</v>
      </c>
      <c r="AP14" s="23">
        <f t="shared" si="17"/>
        <v>8750</v>
      </c>
      <c r="AQ14" s="112">
        <f t="shared" si="17"/>
        <v>8750</v>
      </c>
      <c r="AR14" s="157"/>
      <c r="AS14" s="157"/>
    </row>
    <row r="15" spans="1:45" ht="13.5">
      <c r="A15" s="32"/>
      <c r="B15" s="26"/>
      <c r="C15" s="23"/>
      <c r="D15" s="23"/>
      <c r="E15" s="23"/>
      <c r="F15" s="108"/>
      <c r="H15" s="11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112"/>
      <c r="AR15" s="157"/>
      <c r="AS15" s="157"/>
    </row>
    <row r="16" spans="1:43" ht="13.5">
      <c r="A16" s="32" t="s">
        <v>393</v>
      </c>
      <c r="B16" s="26"/>
      <c r="C16" s="23">
        <f>C118</f>
        <v>0</v>
      </c>
      <c r="D16" s="23">
        <f>D118</f>
        <v>101061.25</v>
      </c>
      <c r="E16" s="23">
        <f>E118</f>
        <v>312830.6875</v>
      </c>
      <c r="F16" s="108" t="str">
        <f>'Revenue - B-to-C'!F16</f>
        <v>year 2 launch</v>
      </c>
      <c r="H16" s="111">
        <f>C16/12</f>
        <v>0</v>
      </c>
      <c r="I16" s="23">
        <f aca="true" t="shared" si="18" ref="I16:S16">$C$16/12</f>
        <v>0</v>
      </c>
      <c r="J16" s="23">
        <f t="shared" si="18"/>
        <v>0</v>
      </c>
      <c r="K16" s="23">
        <f t="shared" si="18"/>
        <v>0</v>
      </c>
      <c r="L16" s="23">
        <f t="shared" si="18"/>
        <v>0</v>
      </c>
      <c r="M16" s="23">
        <f t="shared" si="18"/>
        <v>0</v>
      </c>
      <c r="N16" s="23">
        <f t="shared" si="18"/>
        <v>0</v>
      </c>
      <c r="O16" s="23">
        <f t="shared" si="18"/>
        <v>0</v>
      </c>
      <c r="P16" s="23">
        <f t="shared" si="18"/>
        <v>0</v>
      </c>
      <c r="Q16" s="23">
        <f t="shared" si="18"/>
        <v>0</v>
      </c>
      <c r="R16" s="23">
        <f t="shared" si="18"/>
        <v>0</v>
      </c>
      <c r="S16" s="23">
        <f t="shared" si="18"/>
        <v>0</v>
      </c>
      <c r="T16" s="23">
        <f aca="true" t="shared" si="19" ref="T16:AE16">$D$16/12</f>
        <v>8421.770833333334</v>
      </c>
      <c r="U16" s="23">
        <f t="shared" si="19"/>
        <v>8421.770833333334</v>
      </c>
      <c r="V16" s="23">
        <f t="shared" si="19"/>
        <v>8421.770833333334</v>
      </c>
      <c r="W16" s="23">
        <f t="shared" si="19"/>
        <v>8421.770833333334</v>
      </c>
      <c r="X16" s="23">
        <f t="shared" si="19"/>
        <v>8421.770833333334</v>
      </c>
      <c r="Y16" s="23">
        <f t="shared" si="19"/>
        <v>8421.770833333334</v>
      </c>
      <c r="Z16" s="23">
        <f t="shared" si="19"/>
        <v>8421.770833333334</v>
      </c>
      <c r="AA16" s="23">
        <f t="shared" si="19"/>
        <v>8421.770833333334</v>
      </c>
      <c r="AB16" s="23">
        <f t="shared" si="19"/>
        <v>8421.770833333334</v>
      </c>
      <c r="AC16" s="23">
        <f t="shared" si="19"/>
        <v>8421.770833333334</v>
      </c>
      <c r="AD16" s="23">
        <f t="shared" si="19"/>
        <v>8421.770833333334</v>
      </c>
      <c r="AE16" s="23">
        <f t="shared" si="19"/>
        <v>8421.770833333334</v>
      </c>
      <c r="AF16" s="23">
        <f aca="true" t="shared" si="20" ref="AF16:AQ16">$E$16/12</f>
        <v>26069.223958333332</v>
      </c>
      <c r="AG16" s="23">
        <f t="shared" si="20"/>
        <v>26069.223958333332</v>
      </c>
      <c r="AH16" s="23">
        <f t="shared" si="20"/>
        <v>26069.223958333332</v>
      </c>
      <c r="AI16" s="23">
        <f t="shared" si="20"/>
        <v>26069.223958333332</v>
      </c>
      <c r="AJ16" s="23">
        <f t="shared" si="20"/>
        <v>26069.223958333332</v>
      </c>
      <c r="AK16" s="23">
        <f t="shared" si="20"/>
        <v>26069.223958333332</v>
      </c>
      <c r="AL16" s="23">
        <f t="shared" si="20"/>
        <v>26069.223958333332</v>
      </c>
      <c r="AM16" s="23">
        <f t="shared" si="20"/>
        <v>26069.223958333332</v>
      </c>
      <c r="AN16" s="23">
        <f t="shared" si="20"/>
        <v>26069.223958333332</v>
      </c>
      <c r="AO16" s="23">
        <f t="shared" si="20"/>
        <v>26069.223958333332</v>
      </c>
      <c r="AP16" s="23">
        <f t="shared" si="20"/>
        <v>26069.223958333332</v>
      </c>
      <c r="AQ16" s="112">
        <f t="shared" si="20"/>
        <v>26069.223958333332</v>
      </c>
    </row>
    <row r="17" spans="1:43" ht="13.5">
      <c r="A17" s="32"/>
      <c r="B17" s="156"/>
      <c r="C17" s="26"/>
      <c r="D17" s="26"/>
      <c r="E17" s="26"/>
      <c r="F17" s="108"/>
      <c r="H17" s="32"/>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108"/>
    </row>
    <row r="18" spans="1:45" ht="13.5">
      <c r="A18" s="32" t="s">
        <v>394</v>
      </c>
      <c r="B18" s="26"/>
      <c r="C18" s="23">
        <f>C130</f>
        <v>0</v>
      </c>
      <c r="D18" s="23">
        <f>D130</f>
        <v>28833.333333333336</v>
      </c>
      <c r="E18" s="23">
        <f>E130</f>
        <v>35525</v>
      </c>
      <c r="F18" s="108" t="str">
        <f>'Revenue - B-to-C'!F18</f>
        <v>year 2 launch</v>
      </c>
      <c r="H18" s="111">
        <f>C18/12</f>
        <v>0</v>
      </c>
      <c r="I18" s="23">
        <f aca="true" t="shared" si="21" ref="I18:S18">$C$18/12</f>
        <v>0</v>
      </c>
      <c r="J18" s="23">
        <f t="shared" si="21"/>
        <v>0</v>
      </c>
      <c r="K18" s="23">
        <f t="shared" si="21"/>
        <v>0</v>
      </c>
      <c r="L18" s="23">
        <f t="shared" si="21"/>
        <v>0</v>
      </c>
      <c r="M18" s="23">
        <f t="shared" si="21"/>
        <v>0</v>
      </c>
      <c r="N18" s="23">
        <f t="shared" si="21"/>
        <v>0</v>
      </c>
      <c r="O18" s="23">
        <f t="shared" si="21"/>
        <v>0</v>
      </c>
      <c r="P18" s="23">
        <f t="shared" si="21"/>
        <v>0</v>
      </c>
      <c r="Q18" s="23">
        <f t="shared" si="21"/>
        <v>0</v>
      </c>
      <c r="R18" s="23">
        <f t="shared" si="21"/>
        <v>0</v>
      </c>
      <c r="S18" s="23">
        <f t="shared" si="21"/>
        <v>0</v>
      </c>
      <c r="T18" s="23">
        <f aca="true" t="shared" si="22" ref="T18:AE18">$D$18/12</f>
        <v>2402.777777777778</v>
      </c>
      <c r="U18" s="23">
        <f t="shared" si="22"/>
        <v>2402.777777777778</v>
      </c>
      <c r="V18" s="23">
        <f t="shared" si="22"/>
        <v>2402.777777777778</v>
      </c>
      <c r="W18" s="23">
        <f t="shared" si="22"/>
        <v>2402.777777777778</v>
      </c>
      <c r="X18" s="23">
        <f t="shared" si="22"/>
        <v>2402.777777777778</v>
      </c>
      <c r="Y18" s="23">
        <f t="shared" si="22"/>
        <v>2402.777777777778</v>
      </c>
      <c r="Z18" s="23">
        <f t="shared" si="22"/>
        <v>2402.777777777778</v>
      </c>
      <c r="AA18" s="23">
        <f t="shared" si="22"/>
        <v>2402.777777777778</v>
      </c>
      <c r="AB18" s="23">
        <f t="shared" si="22"/>
        <v>2402.777777777778</v>
      </c>
      <c r="AC18" s="23">
        <f t="shared" si="22"/>
        <v>2402.777777777778</v>
      </c>
      <c r="AD18" s="23">
        <f t="shared" si="22"/>
        <v>2402.777777777778</v>
      </c>
      <c r="AE18" s="23">
        <f t="shared" si="22"/>
        <v>2402.777777777778</v>
      </c>
      <c r="AF18" s="23">
        <f aca="true" t="shared" si="23" ref="AF18:AQ18">$E$18/12</f>
        <v>2960.4166666666665</v>
      </c>
      <c r="AG18" s="23">
        <f t="shared" si="23"/>
        <v>2960.4166666666665</v>
      </c>
      <c r="AH18" s="23">
        <f t="shared" si="23"/>
        <v>2960.4166666666665</v>
      </c>
      <c r="AI18" s="23">
        <f t="shared" si="23"/>
        <v>2960.4166666666665</v>
      </c>
      <c r="AJ18" s="23">
        <f t="shared" si="23"/>
        <v>2960.4166666666665</v>
      </c>
      <c r="AK18" s="23">
        <f t="shared" si="23"/>
        <v>2960.4166666666665</v>
      </c>
      <c r="AL18" s="23">
        <f t="shared" si="23"/>
        <v>2960.4166666666665</v>
      </c>
      <c r="AM18" s="23">
        <f t="shared" si="23"/>
        <v>2960.4166666666665</v>
      </c>
      <c r="AN18" s="23">
        <f t="shared" si="23"/>
        <v>2960.4166666666665</v>
      </c>
      <c r="AO18" s="23">
        <f t="shared" si="23"/>
        <v>2960.4166666666665</v>
      </c>
      <c r="AP18" s="23">
        <f t="shared" si="23"/>
        <v>2960.4166666666665</v>
      </c>
      <c r="AQ18" s="112">
        <f t="shared" si="23"/>
        <v>2960.4166666666665</v>
      </c>
      <c r="AR18" s="157"/>
      <c r="AS18" s="157"/>
    </row>
    <row r="19" spans="1:45" ht="13.5">
      <c r="A19" s="32"/>
      <c r="B19" s="26"/>
      <c r="C19" s="23"/>
      <c r="D19" s="23"/>
      <c r="E19" s="23"/>
      <c r="F19" s="108"/>
      <c r="H19" s="11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112"/>
      <c r="AR19" s="157"/>
      <c r="AS19" s="157"/>
    </row>
    <row r="20" spans="1:45" ht="13.5">
      <c r="A20" s="32" t="s">
        <v>509</v>
      </c>
      <c r="B20" s="26"/>
      <c r="C20" s="23">
        <f>C143</f>
        <v>0</v>
      </c>
      <c r="D20" s="23">
        <f>D143</f>
        <v>-281457.875</v>
      </c>
      <c r="E20" s="23">
        <f>E143</f>
        <v>819480.7828124999</v>
      </c>
      <c r="F20" s="108" t="str">
        <f>'Revenue - B-to-C'!F20</f>
        <v>year 2 launch</v>
      </c>
      <c r="H20" s="111">
        <f>C20/12</f>
        <v>0</v>
      </c>
      <c r="I20" s="23">
        <f>$C$20/12</f>
        <v>0</v>
      </c>
      <c r="J20" s="23">
        <f aca="true" t="shared" si="24" ref="J20:S20">$C$20/12</f>
        <v>0</v>
      </c>
      <c r="K20" s="23">
        <f t="shared" si="24"/>
        <v>0</v>
      </c>
      <c r="L20" s="23">
        <f t="shared" si="24"/>
        <v>0</v>
      </c>
      <c r="M20" s="23">
        <f t="shared" si="24"/>
        <v>0</v>
      </c>
      <c r="N20" s="23">
        <f t="shared" si="24"/>
        <v>0</v>
      </c>
      <c r="O20" s="23">
        <f t="shared" si="24"/>
        <v>0</v>
      </c>
      <c r="P20" s="23">
        <f t="shared" si="24"/>
        <v>0</v>
      </c>
      <c r="Q20" s="23">
        <f t="shared" si="24"/>
        <v>0</v>
      </c>
      <c r="R20" s="23">
        <f t="shared" si="24"/>
        <v>0</v>
      </c>
      <c r="S20" s="23">
        <f t="shared" si="24"/>
        <v>0</v>
      </c>
      <c r="T20" s="23">
        <f>$D$20/12</f>
        <v>-23454.822916666668</v>
      </c>
      <c r="U20" s="23">
        <f aca="true" t="shared" si="25" ref="U20:AE20">$D$20/12</f>
        <v>-23454.822916666668</v>
      </c>
      <c r="V20" s="23">
        <f t="shared" si="25"/>
        <v>-23454.822916666668</v>
      </c>
      <c r="W20" s="23">
        <f t="shared" si="25"/>
        <v>-23454.822916666668</v>
      </c>
      <c r="X20" s="23">
        <f t="shared" si="25"/>
        <v>-23454.822916666668</v>
      </c>
      <c r="Y20" s="23">
        <f t="shared" si="25"/>
        <v>-23454.822916666668</v>
      </c>
      <c r="Z20" s="23">
        <f t="shared" si="25"/>
        <v>-23454.822916666668</v>
      </c>
      <c r="AA20" s="23">
        <f t="shared" si="25"/>
        <v>-23454.822916666668</v>
      </c>
      <c r="AB20" s="23">
        <f t="shared" si="25"/>
        <v>-23454.822916666668</v>
      </c>
      <c r="AC20" s="23">
        <f t="shared" si="25"/>
        <v>-23454.822916666668</v>
      </c>
      <c r="AD20" s="23">
        <f t="shared" si="25"/>
        <v>-23454.822916666668</v>
      </c>
      <c r="AE20" s="23">
        <f t="shared" si="25"/>
        <v>-23454.822916666668</v>
      </c>
      <c r="AF20" s="23">
        <f>$E$20/12</f>
        <v>68290.065234375</v>
      </c>
      <c r="AG20" s="23">
        <f aca="true" t="shared" si="26" ref="AG20:AQ20">$E$20/12</f>
        <v>68290.065234375</v>
      </c>
      <c r="AH20" s="23">
        <f t="shared" si="26"/>
        <v>68290.065234375</v>
      </c>
      <c r="AI20" s="23">
        <f t="shared" si="26"/>
        <v>68290.065234375</v>
      </c>
      <c r="AJ20" s="23">
        <f t="shared" si="26"/>
        <v>68290.065234375</v>
      </c>
      <c r="AK20" s="23">
        <f t="shared" si="26"/>
        <v>68290.065234375</v>
      </c>
      <c r="AL20" s="23">
        <f t="shared" si="26"/>
        <v>68290.065234375</v>
      </c>
      <c r="AM20" s="23">
        <f t="shared" si="26"/>
        <v>68290.065234375</v>
      </c>
      <c r="AN20" s="23">
        <f t="shared" si="26"/>
        <v>68290.065234375</v>
      </c>
      <c r="AO20" s="23">
        <f t="shared" si="26"/>
        <v>68290.065234375</v>
      </c>
      <c r="AP20" s="23">
        <f t="shared" si="26"/>
        <v>68290.065234375</v>
      </c>
      <c r="AQ20" s="112">
        <f t="shared" si="26"/>
        <v>68290.065234375</v>
      </c>
      <c r="AR20" s="157"/>
      <c r="AS20" s="157"/>
    </row>
    <row r="21" spans="1:43" ht="13.5">
      <c r="A21" s="32"/>
      <c r="B21" s="156"/>
      <c r="C21" s="26"/>
      <c r="D21" s="26"/>
      <c r="E21" s="26"/>
      <c r="F21" s="108"/>
      <c r="H21" s="32"/>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108"/>
    </row>
    <row r="22" spans="1:43" ht="13.5">
      <c r="A22" s="32" t="s">
        <v>510</v>
      </c>
      <c r="B22" s="156"/>
      <c r="C22" s="153">
        <f>C155</f>
        <v>0</v>
      </c>
      <c r="D22" s="153">
        <f>D155</f>
        <v>14750</v>
      </c>
      <c r="E22" s="153">
        <f>E155</f>
        <v>64625</v>
      </c>
      <c r="F22" s="108" t="str">
        <f>'Revenue - B-to-C'!F22</f>
        <v>year 2 launch</v>
      </c>
      <c r="H22" s="158">
        <f>C22/12</f>
        <v>0</v>
      </c>
      <c r="I22" s="153">
        <f>$C$22/12</f>
        <v>0</v>
      </c>
      <c r="J22" s="153">
        <f aca="true" t="shared" si="27" ref="J22:S22">$C$22/12</f>
        <v>0</v>
      </c>
      <c r="K22" s="153">
        <f t="shared" si="27"/>
        <v>0</v>
      </c>
      <c r="L22" s="153">
        <f t="shared" si="27"/>
        <v>0</v>
      </c>
      <c r="M22" s="153">
        <f t="shared" si="27"/>
        <v>0</v>
      </c>
      <c r="N22" s="153">
        <f t="shared" si="27"/>
        <v>0</v>
      </c>
      <c r="O22" s="153">
        <f t="shared" si="27"/>
        <v>0</v>
      </c>
      <c r="P22" s="153">
        <f t="shared" si="27"/>
        <v>0</v>
      </c>
      <c r="Q22" s="153">
        <f t="shared" si="27"/>
        <v>0</v>
      </c>
      <c r="R22" s="153">
        <f t="shared" si="27"/>
        <v>0</v>
      </c>
      <c r="S22" s="153">
        <f t="shared" si="27"/>
        <v>0</v>
      </c>
      <c r="T22" s="153">
        <f>$D$22/12</f>
        <v>1229.1666666666667</v>
      </c>
      <c r="U22" s="153">
        <f aca="true" t="shared" si="28" ref="U22:AE22">$D$22/12</f>
        <v>1229.1666666666667</v>
      </c>
      <c r="V22" s="153">
        <f t="shared" si="28"/>
        <v>1229.1666666666667</v>
      </c>
      <c r="W22" s="153">
        <f t="shared" si="28"/>
        <v>1229.1666666666667</v>
      </c>
      <c r="X22" s="153">
        <f t="shared" si="28"/>
        <v>1229.1666666666667</v>
      </c>
      <c r="Y22" s="153">
        <f t="shared" si="28"/>
        <v>1229.1666666666667</v>
      </c>
      <c r="Z22" s="153">
        <f t="shared" si="28"/>
        <v>1229.1666666666667</v>
      </c>
      <c r="AA22" s="153">
        <f t="shared" si="28"/>
        <v>1229.1666666666667</v>
      </c>
      <c r="AB22" s="153">
        <f t="shared" si="28"/>
        <v>1229.1666666666667</v>
      </c>
      <c r="AC22" s="153">
        <f t="shared" si="28"/>
        <v>1229.1666666666667</v>
      </c>
      <c r="AD22" s="153">
        <f t="shared" si="28"/>
        <v>1229.1666666666667</v>
      </c>
      <c r="AE22" s="153">
        <f t="shared" si="28"/>
        <v>1229.1666666666667</v>
      </c>
      <c r="AF22" s="153">
        <f>$E$22/12</f>
        <v>5385.416666666667</v>
      </c>
      <c r="AG22" s="153">
        <f aca="true" t="shared" si="29" ref="AG22:AQ22">$E$22/12</f>
        <v>5385.416666666667</v>
      </c>
      <c r="AH22" s="153">
        <f t="shared" si="29"/>
        <v>5385.416666666667</v>
      </c>
      <c r="AI22" s="153">
        <f t="shared" si="29"/>
        <v>5385.416666666667</v>
      </c>
      <c r="AJ22" s="153">
        <f t="shared" si="29"/>
        <v>5385.416666666667</v>
      </c>
      <c r="AK22" s="153">
        <f t="shared" si="29"/>
        <v>5385.416666666667</v>
      </c>
      <c r="AL22" s="153">
        <f t="shared" si="29"/>
        <v>5385.416666666667</v>
      </c>
      <c r="AM22" s="153">
        <f t="shared" si="29"/>
        <v>5385.416666666667</v>
      </c>
      <c r="AN22" s="153">
        <f t="shared" si="29"/>
        <v>5385.416666666667</v>
      </c>
      <c r="AO22" s="153">
        <f t="shared" si="29"/>
        <v>5385.416666666667</v>
      </c>
      <c r="AP22" s="153">
        <f t="shared" si="29"/>
        <v>5385.416666666667</v>
      </c>
      <c r="AQ22" s="112">
        <f t="shared" si="29"/>
        <v>5385.416666666667</v>
      </c>
    </row>
    <row r="23" spans="1:43" ht="13.5">
      <c r="A23" s="32"/>
      <c r="B23" s="156"/>
      <c r="C23" s="26"/>
      <c r="D23" s="26"/>
      <c r="E23" s="26"/>
      <c r="F23" s="108"/>
      <c r="H23" s="32"/>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108"/>
    </row>
    <row r="24" spans="1:43" ht="13.5">
      <c r="A24" s="32" t="s">
        <v>511</v>
      </c>
      <c r="B24" s="26"/>
      <c r="C24" s="23">
        <v>0</v>
      </c>
      <c r="D24" s="23">
        <v>0</v>
      </c>
      <c r="E24" s="23">
        <v>0</v>
      </c>
      <c r="F24" s="108" t="str">
        <f>'Revenue - B-to-C'!F24</f>
        <v>High cost of data collection</v>
      </c>
      <c r="H24" s="111">
        <f>C24/12</f>
        <v>0</v>
      </c>
      <c r="I24" s="23">
        <f>$C$24/12</f>
        <v>0</v>
      </c>
      <c r="J24" s="23">
        <f aca="true" t="shared" si="30" ref="J24:S24">$C$24/12</f>
        <v>0</v>
      </c>
      <c r="K24" s="23">
        <f t="shared" si="30"/>
        <v>0</v>
      </c>
      <c r="L24" s="23">
        <f t="shared" si="30"/>
        <v>0</v>
      </c>
      <c r="M24" s="23">
        <f t="shared" si="30"/>
        <v>0</v>
      </c>
      <c r="N24" s="23">
        <f t="shared" si="30"/>
        <v>0</v>
      </c>
      <c r="O24" s="23">
        <f t="shared" si="30"/>
        <v>0</v>
      </c>
      <c r="P24" s="23">
        <f t="shared" si="30"/>
        <v>0</v>
      </c>
      <c r="Q24" s="23">
        <f t="shared" si="30"/>
        <v>0</v>
      </c>
      <c r="R24" s="23">
        <f t="shared" si="30"/>
        <v>0</v>
      </c>
      <c r="S24" s="23">
        <f t="shared" si="30"/>
        <v>0</v>
      </c>
      <c r="T24" s="23">
        <f>$D$24/12</f>
        <v>0</v>
      </c>
      <c r="U24" s="23">
        <f aca="true" t="shared" si="31" ref="U24:AE24">$D$24/12</f>
        <v>0</v>
      </c>
      <c r="V24" s="23">
        <f t="shared" si="31"/>
        <v>0</v>
      </c>
      <c r="W24" s="23">
        <f t="shared" si="31"/>
        <v>0</v>
      </c>
      <c r="X24" s="23">
        <f t="shared" si="31"/>
        <v>0</v>
      </c>
      <c r="Y24" s="23">
        <f t="shared" si="31"/>
        <v>0</v>
      </c>
      <c r="Z24" s="23">
        <f t="shared" si="31"/>
        <v>0</v>
      </c>
      <c r="AA24" s="23">
        <f t="shared" si="31"/>
        <v>0</v>
      </c>
      <c r="AB24" s="23">
        <f t="shared" si="31"/>
        <v>0</v>
      </c>
      <c r="AC24" s="23">
        <f t="shared" si="31"/>
        <v>0</v>
      </c>
      <c r="AD24" s="23">
        <f t="shared" si="31"/>
        <v>0</v>
      </c>
      <c r="AE24" s="23">
        <f t="shared" si="31"/>
        <v>0</v>
      </c>
      <c r="AF24" s="23">
        <f>$E$24/12</f>
        <v>0</v>
      </c>
      <c r="AG24" s="23">
        <f aca="true" t="shared" si="32" ref="AG24:AQ24">$E$24/12</f>
        <v>0</v>
      </c>
      <c r="AH24" s="23">
        <f t="shared" si="32"/>
        <v>0</v>
      </c>
      <c r="AI24" s="23">
        <f t="shared" si="32"/>
        <v>0</v>
      </c>
      <c r="AJ24" s="23">
        <f t="shared" si="32"/>
        <v>0</v>
      </c>
      <c r="AK24" s="23">
        <f t="shared" si="32"/>
        <v>0</v>
      </c>
      <c r="AL24" s="23">
        <f t="shared" si="32"/>
        <v>0</v>
      </c>
      <c r="AM24" s="23">
        <f t="shared" si="32"/>
        <v>0</v>
      </c>
      <c r="AN24" s="23">
        <f t="shared" si="32"/>
        <v>0</v>
      </c>
      <c r="AO24" s="23">
        <f t="shared" si="32"/>
        <v>0</v>
      </c>
      <c r="AP24" s="23">
        <f t="shared" si="32"/>
        <v>0</v>
      </c>
      <c r="AQ24" s="112">
        <f t="shared" si="32"/>
        <v>0</v>
      </c>
    </row>
    <row r="25" spans="1:43" ht="13.5">
      <c r="A25" s="32"/>
      <c r="B25" s="26"/>
      <c r="C25" s="37"/>
      <c r="D25" s="37"/>
      <c r="E25" s="37"/>
      <c r="F25" s="108"/>
      <c r="H25" s="154"/>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155"/>
    </row>
    <row r="26" spans="1:43" s="138" customFormat="1" ht="15" thickBot="1">
      <c r="A26" s="159"/>
      <c r="B26" s="160"/>
      <c r="F26" s="161"/>
      <c r="H26" s="159"/>
      <c r="AQ26" s="161"/>
    </row>
    <row r="27" spans="1:43" ht="13.5">
      <c r="A27" s="32"/>
      <c r="B27" s="26"/>
      <c r="C27" s="26"/>
      <c r="D27" s="26"/>
      <c r="E27" s="26"/>
      <c r="F27" s="108"/>
      <c r="H27" s="111"/>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112"/>
    </row>
    <row r="28" spans="1:43" ht="13.5">
      <c r="A28" s="162" t="s">
        <v>329</v>
      </c>
      <c r="B28" s="26"/>
      <c r="C28" s="23">
        <f>SUM(C4:C25)</f>
        <v>269910</v>
      </c>
      <c r="D28" s="23">
        <f>SUM(D4:D25)</f>
        <v>290639.1083333334</v>
      </c>
      <c r="E28" s="23">
        <f>SUM(E4:E25)</f>
        <v>1807921.9703125</v>
      </c>
      <c r="F28" s="108"/>
      <c r="H28" s="111">
        <f aca="true" t="shared" si="33" ref="H28:AQ28">SUM(H4:H25)</f>
        <v>22492.5</v>
      </c>
      <c r="I28" s="23">
        <f t="shared" si="33"/>
        <v>22492.5</v>
      </c>
      <c r="J28" s="23">
        <f t="shared" si="33"/>
        <v>22492.5</v>
      </c>
      <c r="K28" s="23">
        <f t="shared" si="33"/>
        <v>22492.5</v>
      </c>
      <c r="L28" s="23">
        <f t="shared" si="33"/>
        <v>22492.5</v>
      </c>
      <c r="M28" s="23">
        <f t="shared" si="33"/>
        <v>22492.5</v>
      </c>
      <c r="N28" s="23">
        <f t="shared" si="33"/>
        <v>22492.5</v>
      </c>
      <c r="O28" s="23">
        <f t="shared" si="33"/>
        <v>22492.5</v>
      </c>
      <c r="P28" s="23">
        <f t="shared" si="33"/>
        <v>22492.5</v>
      </c>
      <c r="Q28" s="23">
        <f t="shared" si="33"/>
        <v>22492.5</v>
      </c>
      <c r="R28" s="23">
        <f t="shared" si="33"/>
        <v>22492.5</v>
      </c>
      <c r="S28" s="23">
        <f t="shared" si="33"/>
        <v>22492.5</v>
      </c>
      <c r="T28" s="23">
        <f t="shared" si="33"/>
        <v>24219.92569444445</v>
      </c>
      <c r="U28" s="23">
        <f t="shared" si="33"/>
        <v>24219.92569444445</v>
      </c>
      <c r="V28" s="23">
        <f t="shared" si="33"/>
        <v>24219.92569444445</v>
      </c>
      <c r="W28" s="23">
        <f t="shared" si="33"/>
        <v>24219.92569444445</v>
      </c>
      <c r="X28" s="23">
        <f t="shared" si="33"/>
        <v>24219.92569444445</v>
      </c>
      <c r="Y28" s="23">
        <f t="shared" si="33"/>
        <v>24219.92569444445</v>
      </c>
      <c r="Z28" s="23">
        <f t="shared" si="33"/>
        <v>24219.92569444445</v>
      </c>
      <c r="AA28" s="23">
        <f t="shared" si="33"/>
        <v>24219.92569444445</v>
      </c>
      <c r="AB28" s="23">
        <f t="shared" si="33"/>
        <v>24219.92569444445</v>
      </c>
      <c r="AC28" s="23">
        <f t="shared" si="33"/>
        <v>24219.92569444445</v>
      </c>
      <c r="AD28" s="23">
        <f t="shared" si="33"/>
        <v>24219.92569444445</v>
      </c>
      <c r="AE28" s="23">
        <f t="shared" si="33"/>
        <v>24219.92569444445</v>
      </c>
      <c r="AF28" s="23">
        <f t="shared" si="33"/>
        <v>150660.16419270833</v>
      </c>
      <c r="AG28" s="23">
        <f t="shared" si="33"/>
        <v>150660.16419270833</v>
      </c>
      <c r="AH28" s="23">
        <f t="shared" si="33"/>
        <v>150660.16419270833</v>
      </c>
      <c r="AI28" s="23">
        <f t="shared" si="33"/>
        <v>150660.16419270833</v>
      </c>
      <c r="AJ28" s="23">
        <f t="shared" si="33"/>
        <v>150660.16419270833</v>
      </c>
      <c r="AK28" s="23">
        <f t="shared" si="33"/>
        <v>150660.16419270833</v>
      </c>
      <c r="AL28" s="23">
        <f t="shared" si="33"/>
        <v>150660.16419270833</v>
      </c>
      <c r="AM28" s="23">
        <f t="shared" si="33"/>
        <v>150660.16419270833</v>
      </c>
      <c r="AN28" s="23">
        <f t="shared" si="33"/>
        <v>150660.16419270833</v>
      </c>
      <c r="AO28" s="23">
        <f t="shared" si="33"/>
        <v>150660.16419270833</v>
      </c>
      <c r="AP28" s="23">
        <f t="shared" si="33"/>
        <v>150660.16419270833</v>
      </c>
      <c r="AQ28" s="112">
        <f t="shared" si="33"/>
        <v>150660.16419270833</v>
      </c>
    </row>
    <row r="29" spans="1:43" ht="15" thickBot="1">
      <c r="A29" s="159"/>
      <c r="B29" s="138"/>
      <c r="C29" s="138"/>
      <c r="D29" s="138"/>
      <c r="E29" s="138"/>
      <c r="F29" s="161"/>
      <c r="H29" s="159"/>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61"/>
    </row>
    <row r="33" s="103" customFormat="1" ht="13.5">
      <c r="A33" s="329" t="s">
        <v>564</v>
      </c>
    </row>
    <row r="34" spans="1:2" ht="13.5">
      <c r="A34" s="99"/>
      <c r="B34" s="25" t="s">
        <v>565</v>
      </c>
    </row>
    <row r="35" spans="1:2" ht="13.5">
      <c r="A35" s="99"/>
      <c r="B35" s="164" t="s">
        <v>566</v>
      </c>
    </row>
    <row r="37" spans="3:5" ht="13.5">
      <c r="C37" s="169" t="s">
        <v>196</v>
      </c>
      <c r="D37" s="169" t="s">
        <v>197</v>
      </c>
      <c r="E37" s="169" t="s">
        <v>198</v>
      </c>
    </row>
    <row r="39" spans="1:5" ht="13.5">
      <c r="A39" s="25" t="s">
        <v>57</v>
      </c>
      <c r="C39" s="23">
        <f>'Revenue - B-to-C'!C4</f>
        <v>14560</v>
      </c>
      <c r="D39" s="23">
        <f>'Revenue - B-to-C'!D4</f>
        <v>47902.4</v>
      </c>
      <c r="E39" s="23">
        <f>'Revenue - B-to-C'!E4</f>
        <v>91728</v>
      </c>
    </row>
    <row r="40" spans="1:5" ht="13.5">
      <c r="A40" s="25" t="s">
        <v>58</v>
      </c>
      <c r="C40" s="23">
        <f>'Expenses- BtoC'!D47</f>
        <v>5000</v>
      </c>
      <c r="D40" s="23">
        <f>'Expenses- BtoC'!E47</f>
        <v>0</v>
      </c>
      <c r="E40" s="23">
        <f>'Expenses- BtoC'!F47</f>
        <v>0</v>
      </c>
    </row>
    <row r="41" spans="2:5" ht="13.5">
      <c r="B41" s="25" t="s">
        <v>329</v>
      </c>
      <c r="C41" s="136">
        <f>C39-C40</f>
        <v>9560</v>
      </c>
      <c r="D41" s="136">
        <f>D39-D40</f>
        <v>47902.4</v>
      </c>
      <c r="E41" s="136">
        <f>E39-E40</f>
        <v>91728</v>
      </c>
    </row>
    <row r="45" s="103" customFormat="1" ht="13.5">
      <c r="A45" s="329" t="s">
        <v>572</v>
      </c>
    </row>
    <row r="46" spans="1:2" ht="13.5">
      <c r="A46" s="99"/>
      <c r="B46" s="25" t="s">
        <v>573</v>
      </c>
    </row>
    <row r="47" spans="1:2" ht="13.5">
      <c r="A47" s="99"/>
      <c r="B47" s="164" t="s">
        <v>574</v>
      </c>
    </row>
    <row r="49" spans="3:5" ht="13.5">
      <c r="C49" s="169" t="s">
        <v>196</v>
      </c>
      <c r="D49" s="169" t="s">
        <v>197</v>
      </c>
      <c r="E49" s="169" t="s">
        <v>198</v>
      </c>
    </row>
    <row r="50" ht="13.5">
      <c r="A50" s="99"/>
    </row>
    <row r="51" spans="1:43" ht="13.5">
      <c r="A51" s="25" t="s">
        <v>57</v>
      </c>
      <c r="C51" s="23">
        <f>'Revenue - B-to-C'!C6</f>
        <v>312000</v>
      </c>
      <c r="D51" s="23">
        <f>'Revenue - B-to-C'!D6</f>
        <v>416000</v>
      </c>
      <c r="E51" s="23">
        <f>'Revenue - B-to-C'!E6</f>
        <v>416000</v>
      </c>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row>
    <row r="52" spans="1:43" ht="13.5">
      <c r="A52" s="25" t="s">
        <v>58</v>
      </c>
      <c r="C52" s="23">
        <f>'Expenses- BtoC'!D73</f>
        <v>195350</v>
      </c>
      <c r="D52" s="23">
        <f>'Expenses- BtoC'!E73</f>
        <v>254550</v>
      </c>
      <c r="E52" s="23">
        <f>'Expenses- BtoC'!F73</f>
        <v>255322.5</v>
      </c>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row>
    <row r="53" spans="2:43" ht="13.5">
      <c r="B53" s="25" t="s">
        <v>329</v>
      </c>
      <c r="C53" s="23">
        <f>C51-C52</f>
        <v>116650</v>
      </c>
      <c r="D53" s="23">
        <f>D51-D52</f>
        <v>161450</v>
      </c>
      <c r="E53" s="23">
        <f>E51-E52</f>
        <v>160677.5</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row>
    <row r="54" spans="1:3" ht="13.5">
      <c r="A54" s="99"/>
      <c r="C54" s="136"/>
    </row>
    <row r="57" s="103" customFormat="1" ht="13.5">
      <c r="A57" s="329" t="s">
        <v>581</v>
      </c>
    </row>
    <row r="58" spans="1:2" ht="13.5">
      <c r="A58" s="171"/>
      <c r="B58" s="25" t="s">
        <v>582</v>
      </c>
    </row>
    <row r="59" spans="1:2" ht="13.5">
      <c r="A59" s="171"/>
      <c r="B59" s="164" t="s">
        <v>583</v>
      </c>
    </row>
    <row r="60" spans="1:2" ht="13.5">
      <c r="A60" s="171"/>
      <c r="B60" s="164" t="s">
        <v>584</v>
      </c>
    </row>
    <row r="61" ht="13.5">
      <c r="A61" s="171"/>
    </row>
    <row r="62" spans="3:5" ht="13.5">
      <c r="C62" s="169" t="s">
        <v>196</v>
      </c>
      <c r="D62" s="169" t="s">
        <v>197</v>
      </c>
      <c r="E62" s="169" t="s">
        <v>198</v>
      </c>
    </row>
    <row r="64" spans="1:43" ht="13.5">
      <c r="A64" s="25" t="s">
        <v>57</v>
      </c>
      <c r="C64" s="23">
        <f>'Revenue - B-to-C'!C8</f>
        <v>165000</v>
      </c>
      <c r="D64" s="23">
        <f>'Revenue - B-to-C'!D8</f>
        <v>275000</v>
      </c>
      <c r="E64" s="23">
        <f>'Revenue - B-to-C'!E8</f>
        <v>330000</v>
      </c>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row>
    <row r="65" spans="1:43" ht="13.5">
      <c r="A65" s="25" t="s">
        <v>58</v>
      </c>
      <c r="C65" s="23">
        <f>'Expenses- BtoC'!D98</f>
        <v>117500</v>
      </c>
      <c r="D65" s="23">
        <f>'Expenses- BtoC'!E98</f>
        <v>186500</v>
      </c>
      <c r="E65" s="23">
        <f>'Expenses- BtoC'!F98</f>
        <v>220345</v>
      </c>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row>
    <row r="66" spans="2:43" ht="13.5">
      <c r="B66" s="25" t="s">
        <v>329</v>
      </c>
      <c r="C66" s="23">
        <f>C64-C65</f>
        <v>47500</v>
      </c>
      <c r="D66" s="23">
        <f>D64-D65</f>
        <v>88500</v>
      </c>
      <c r="E66" s="23">
        <f>E64-E65</f>
        <v>109655</v>
      </c>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row>
    <row r="69" spans="3:43" ht="13.5">
      <c r="C69" s="172"/>
      <c r="D69" s="172"/>
      <c r="E69" s="172"/>
      <c r="I69" s="170"/>
      <c r="J69" s="170"/>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row>
    <row r="70" s="103" customFormat="1" ht="13.5">
      <c r="A70" s="329" t="s">
        <v>378</v>
      </c>
    </row>
    <row r="71" spans="1:2" ht="13.5">
      <c r="A71" s="99"/>
      <c r="B71" s="25" t="s">
        <v>379</v>
      </c>
    </row>
    <row r="72" spans="1:2" ht="13.5">
      <c r="A72" s="99"/>
      <c r="B72" s="164" t="s">
        <v>380</v>
      </c>
    </row>
    <row r="73" spans="1:2" ht="13.5">
      <c r="A73" s="99"/>
      <c r="B73" s="164" t="s">
        <v>381</v>
      </c>
    </row>
    <row r="75" spans="3:5" ht="13.5">
      <c r="C75" s="169" t="s">
        <v>196</v>
      </c>
      <c r="D75" s="169" t="s">
        <v>197</v>
      </c>
      <c r="E75" s="169" t="s">
        <v>198</v>
      </c>
    </row>
    <row r="77" spans="1:43" ht="13.5">
      <c r="A77" s="25" t="s">
        <v>57</v>
      </c>
      <c r="C77" s="23">
        <f>'Revenue - B-to-C'!C10</f>
        <v>75000</v>
      </c>
      <c r="D77" s="23">
        <f>'Revenue - B-to-C'!D10</f>
        <v>75000</v>
      </c>
      <c r="E77" s="23">
        <f>'Revenue - B-to-C'!E10</f>
        <v>75000</v>
      </c>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row>
    <row r="78" spans="1:43" ht="13.5">
      <c r="A78" s="25" t="s">
        <v>58</v>
      </c>
      <c r="C78" s="23">
        <f>'Expenses- BtoC'!D117</f>
        <v>8000</v>
      </c>
      <c r="D78" s="23">
        <f>'Expenses- BtoC'!E117</f>
        <v>3000</v>
      </c>
      <c r="E78" s="23">
        <f>'Expenses- BtoC'!F117</f>
        <v>3000</v>
      </c>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row>
    <row r="79" spans="2:43" ht="13.5">
      <c r="B79" s="25" t="s">
        <v>329</v>
      </c>
      <c r="C79" s="23">
        <f>C77-C78</f>
        <v>67000</v>
      </c>
      <c r="D79" s="23">
        <f>D77-D78</f>
        <v>72000</v>
      </c>
      <c r="E79" s="23">
        <f>E77-E78</f>
        <v>72000</v>
      </c>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row>
    <row r="83" s="103" customFormat="1" ht="13.5">
      <c r="A83" s="329" t="s">
        <v>389</v>
      </c>
    </row>
    <row r="84" spans="1:2" ht="13.5">
      <c r="A84" s="99"/>
      <c r="B84" s="164" t="s">
        <v>503</v>
      </c>
    </row>
    <row r="85" spans="1:2" ht="13.5">
      <c r="A85" s="99"/>
      <c r="B85" s="164" t="s">
        <v>504</v>
      </c>
    </row>
    <row r="87" spans="3:5" ht="13.5">
      <c r="C87" s="169" t="s">
        <v>196</v>
      </c>
      <c r="D87" s="169" t="s">
        <v>197</v>
      </c>
      <c r="E87" s="169" t="s">
        <v>198</v>
      </c>
    </row>
    <row r="89" spans="1:43" ht="13.5">
      <c r="A89" s="25" t="s">
        <v>57</v>
      </c>
      <c r="C89" s="23">
        <f>'Revenue - B-to-C'!C12</f>
        <v>25200</v>
      </c>
      <c r="D89" s="23">
        <f>'Revenue - B-to-C'!D12</f>
        <v>29400</v>
      </c>
      <c r="E89" s="23">
        <f>'Revenue - B-to-C'!E12</f>
        <v>36400</v>
      </c>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row>
    <row r="90" spans="1:43" ht="13.5">
      <c r="A90" s="25" t="s">
        <v>58</v>
      </c>
      <c r="C90" s="23">
        <f>'Expenses- BtoC'!D135</f>
        <v>2000</v>
      </c>
      <c r="D90" s="23">
        <f>'Expenses- BtoC'!E135</f>
        <v>0</v>
      </c>
      <c r="E90" s="23">
        <f>'Expenses- BtoC'!F135</f>
        <v>0</v>
      </c>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row>
    <row r="91" spans="2:43" ht="13.5">
      <c r="B91" s="25" t="s">
        <v>329</v>
      </c>
      <c r="C91" s="23">
        <f>C89-C90</f>
        <v>23200</v>
      </c>
      <c r="D91" s="23">
        <f>D89-D90</f>
        <v>29400</v>
      </c>
      <c r="E91" s="23">
        <f>E89-E90</f>
        <v>36400</v>
      </c>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row>
    <row r="95" s="103" customFormat="1" ht="13.5">
      <c r="A95" s="329" t="s">
        <v>508</v>
      </c>
    </row>
    <row r="96" spans="1:2" ht="13.5">
      <c r="A96" s="99"/>
      <c r="B96" s="164" t="s">
        <v>539</v>
      </c>
    </row>
    <row r="97" spans="1:2" ht="13.5">
      <c r="A97" s="99"/>
      <c r="B97" s="164" t="s">
        <v>540</v>
      </c>
    </row>
    <row r="99" spans="3:5" ht="13.5">
      <c r="C99" s="169" t="s">
        <v>196</v>
      </c>
      <c r="D99" s="169" t="s">
        <v>197</v>
      </c>
      <c r="E99" s="169" t="s">
        <v>198</v>
      </c>
    </row>
    <row r="101" spans="1:43" ht="13.5">
      <c r="A101" s="25" t="s">
        <v>57</v>
      </c>
      <c r="C101" s="23">
        <f>'Revenue - B-to-C'!C14</f>
        <v>6000</v>
      </c>
      <c r="D101" s="23">
        <f>'Revenue - B-to-C'!D14</f>
        <v>28200</v>
      </c>
      <c r="E101" s="23">
        <f>'Revenue - B-to-C'!E14</f>
        <v>105000</v>
      </c>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row>
    <row r="102" spans="1:43" ht="13.5">
      <c r="A102" s="25" t="s">
        <v>58</v>
      </c>
      <c r="C102" s="23">
        <f>'Expenses- BtoC'!D14</f>
        <v>0</v>
      </c>
      <c r="D102" s="23">
        <f>'Expenses- BtoC'!E14</f>
        <v>0</v>
      </c>
      <c r="E102" s="23">
        <f>'Expenses- BtoC'!F14</f>
        <v>0</v>
      </c>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row>
    <row r="103" spans="2:43" ht="13.5">
      <c r="B103" s="25" t="s">
        <v>329</v>
      </c>
      <c r="C103" s="23">
        <f>C101-C102</f>
        <v>6000</v>
      </c>
      <c r="D103" s="23">
        <f>D101-D102</f>
        <v>28200</v>
      </c>
      <c r="E103" s="23">
        <f>E101-E102</f>
        <v>105000</v>
      </c>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row>
    <row r="107" s="103" customFormat="1" ht="13.5">
      <c r="A107" s="329" t="s">
        <v>59</v>
      </c>
    </row>
    <row r="108" spans="1:2" ht="13.5">
      <c r="A108" s="99"/>
      <c r="B108" s="25" t="s">
        <v>456</v>
      </c>
    </row>
    <row r="109" spans="1:2" ht="13.5">
      <c r="A109" s="99"/>
      <c r="B109" s="25" t="s">
        <v>460</v>
      </c>
    </row>
    <row r="110" spans="1:2" ht="13.5">
      <c r="A110" s="99"/>
      <c r="B110" s="164" t="s">
        <v>547</v>
      </c>
    </row>
    <row r="111" spans="1:2" ht="13.5">
      <c r="A111" s="99"/>
      <c r="B111" s="164" t="s">
        <v>548</v>
      </c>
    </row>
    <row r="112" spans="1:2" ht="13.5">
      <c r="A112" s="99"/>
      <c r="B112" s="164" t="s">
        <v>549</v>
      </c>
    </row>
    <row r="114" spans="3:5" ht="13.5">
      <c r="C114" s="169" t="s">
        <v>196</v>
      </c>
      <c r="D114" s="169" t="s">
        <v>197</v>
      </c>
      <c r="E114" s="169" t="s">
        <v>198</v>
      </c>
    </row>
    <row r="115" ht="13.5">
      <c r="H115" s="178"/>
    </row>
    <row r="116" spans="1:43" ht="13.5">
      <c r="A116" s="25" t="s">
        <v>57</v>
      </c>
      <c r="C116" s="23">
        <f>'Revenue - B-to-C'!C16</f>
        <v>0</v>
      </c>
      <c r="D116" s="23">
        <f>'Revenue - B-to-C'!D16</f>
        <v>171080</v>
      </c>
      <c r="E116" s="23">
        <f>'Revenue - B-to-C'!E16</f>
        <v>380800</v>
      </c>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row>
    <row r="117" spans="1:43" ht="13.5">
      <c r="A117" s="25" t="s">
        <v>58</v>
      </c>
      <c r="C117" s="23">
        <f>'Expenses- BtoC'!D175</f>
        <v>0</v>
      </c>
      <c r="D117" s="23">
        <f>'Expenses- BtoC'!E175</f>
        <v>70018.75</v>
      </c>
      <c r="E117" s="23">
        <f>'Expenses- BtoC'!F175</f>
        <v>67969.3125</v>
      </c>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row>
    <row r="118" spans="2:43" ht="13.5">
      <c r="B118" s="25" t="s">
        <v>329</v>
      </c>
      <c r="C118" s="23">
        <f>C116-C117</f>
        <v>0</v>
      </c>
      <c r="D118" s="23">
        <f>D116-D117</f>
        <v>101061.25</v>
      </c>
      <c r="E118" s="23">
        <f>E116-E117</f>
        <v>312830.6875</v>
      </c>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row>
    <row r="120" ht="13.5">
      <c r="H120" s="164"/>
    </row>
    <row r="121" ht="13.5">
      <c r="H121" s="164"/>
    </row>
    <row r="122" s="103" customFormat="1" ht="13.5">
      <c r="A122" s="329" t="s">
        <v>552</v>
      </c>
    </row>
    <row r="123" spans="1:2" ht="13.5">
      <c r="A123" s="99"/>
      <c r="B123" s="25" t="s">
        <v>208</v>
      </c>
    </row>
    <row r="124" spans="1:2" ht="13.5">
      <c r="A124" s="99"/>
      <c r="B124" s="178" t="s">
        <v>553</v>
      </c>
    </row>
    <row r="126" spans="3:5" ht="13.5">
      <c r="C126" s="169" t="s">
        <v>196</v>
      </c>
      <c r="D126" s="169" t="s">
        <v>197</v>
      </c>
      <c r="E126" s="169" t="s">
        <v>198</v>
      </c>
    </row>
    <row r="127" ht="13.5">
      <c r="A127" s="99"/>
    </row>
    <row r="128" spans="1:43" ht="13.5">
      <c r="A128" s="25" t="s">
        <v>57</v>
      </c>
      <c r="C128" s="23">
        <f>'Revenue - B-to-C'!C18</f>
        <v>0</v>
      </c>
      <c r="D128" s="23">
        <f>'Revenue - B-to-C'!D18</f>
        <v>33833.333333333336</v>
      </c>
      <c r="E128" s="23">
        <f>'Revenue - B-to-C'!E18</f>
        <v>35525</v>
      </c>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row>
    <row r="129" spans="1:43" ht="13.5">
      <c r="A129" s="25" t="s">
        <v>58</v>
      </c>
      <c r="C129" s="23">
        <f>'Expenses- BtoC'!D193</f>
        <v>0</v>
      </c>
      <c r="D129" s="23">
        <f>'Expenses- BtoC'!E193</f>
        <v>5000</v>
      </c>
      <c r="E129" s="23">
        <f>'Expenses- BtoC'!F193</f>
        <v>0</v>
      </c>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row>
    <row r="130" spans="2:43" ht="13.5">
      <c r="B130" s="25" t="s">
        <v>329</v>
      </c>
      <c r="C130" s="23">
        <f>C128-C129</f>
        <v>0</v>
      </c>
      <c r="D130" s="23">
        <f>D128-D129</f>
        <v>28833.333333333336</v>
      </c>
      <c r="E130" s="23">
        <f>E128-E129</f>
        <v>35525</v>
      </c>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row>
    <row r="134" s="103" customFormat="1" ht="13.5">
      <c r="A134" s="329" t="s">
        <v>418</v>
      </c>
    </row>
    <row r="135" spans="1:2" ht="13.5">
      <c r="A135" s="99"/>
      <c r="B135" s="164" t="s">
        <v>396</v>
      </c>
    </row>
    <row r="136" spans="1:2" ht="13.5">
      <c r="A136" s="99"/>
      <c r="B136" s="164" t="s">
        <v>419</v>
      </c>
    </row>
    <row r="137" spans="1:2" ht="13.5">
      <c r="A137" s="99"/>
      <c r="B137" s="164" t="s">
        <v>420</v>
      </c>
    </row>
    <row r="139" spans="3:43" ht="13.5">
      <c r="C139" s="169" t="s">
        <v>196</v>
      </c>
      <c r="D139" s="169" t="s">
        <v>197</v>
      </c>
      <c r="E139" s="169" t="s">
        <v>198</v>
      </c>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row>
    <row r="140" spans="8:43" ht="13.5">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row>
    <row r="141" spans="1:43" ht="13.5">
      <c r="A141" s="25" t="s">
        <v>57</v>
      </c>
      <c r="C141" s="23">
        <f>'Revenue - B-to-C'!C20</f>
        <v>0</v>
      </c>
      <c r="D141" s="23">
        <f>'Revenue - B-to-C'!D20</f>
        <v>843531</v>
      </c>
      <c r="E141" s="23">
        <f>'Revenue - B-to-C'!E20</f>
        <v>3560479.2375</v>
      </c>
      <c r="F141" s="182"/>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row>
    <row r="142" spans="1:43" ht="13.5">
      <c r="A142" s="25" t="s">
        <v>58</v>
      </c>
      <c r="C142" s="23">
        <f>'Expenses- BtoC'!D235</f>
        <v>0</v>
      </c>
      <c r="D142" s="23">
        <f>'Expenses- BtoC'!E235</f>
        <v>1124988.875</v>
      </c>
      <c r="E142" s="23">
        <f>'Expenses- BtoC'!F235</f>
        <v>2740998.4546875</v>
      </c>
      <c r="F142" s="182"/>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row>
    <row r="143" spans="2:43" ht="13.5">
      <c r="B143" s="25" t="s">
        <v>329</v>
      </c>
      <c r="C143" s="136">
        <f>C141-C142</f>
        <v>0</v>
      </c>
      <c r="D143" s="136">
        <f>D141-D142</f>
        <v>-281457.875</v>
      </c>
      <c r="E143" s="136">
        <f>E141-E142</f>
        <v>819480.7828124999</v>
      </c>
      <c r="F143" s="182"/>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row>
    <row r="144" spans="6:43" ht="13.5">
      <c r="F144" s="182"/>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row>
    <row r="145" spans="6:43" ht="13.5">
      <c r="F145" s="182"/>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row>
    <row r="146" spans="8:43" ht="13.5">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row>
    <row r="147" s="103" customFormat="1" ht="13.5">
      <c r="A147" s="329" t="s">
        <v>104</v>
      </c>
    </row>
    <row r="148" spans="1:2" ht="13.5">
      <c r="A148" s="99"/>
      <c r="B148" s="25" t="s">
        <v>105</v>
      </c>
    </row>
    <row r="149" spans="1:2" ht="13.5">
      <c r="A149" s="99"/>
      <c r="B149" s="164" t="s">
        <v>106</v>
      </c>
    </row>
    <row r="151" spans="3:43" ht="13.5">
      <c r="C151" s="169" t="s">
        <v>196</v>
      </c>
      <c r="D151" s="169" t="s">
        <v>197</v>
      </c>
      <c r="E151" s="169" t="s">
        <v>198</v>
      </c>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row>
    <row r="152" spans="8:43" ht="13.5">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row>
    <row r="153" spans="1:43" ht="13.5">
      <c r="A153" s="25" t="s">
        <v>57</v>
      </c>
      <c r="C153" s="23">
        <f>'Revenue - B-to-C'!C22</f>
        <v>0</v>
      </c>
      <c r="D153" s="23">
        <f>'Revenue - B-to-C'!D22</f>
        <v>49750</v>
      </c>
      <c r="E153" s="23">
        <f>'Revenue - B-to-C'!E22</f>
        <v>74625</v>
      </c>
      <c r="F153" s="182"/>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row>
    <row r="154" spans="1:43" ht="13.5">
      <c r="A154" s="25" t="s">
        <v>58</v>
      </c>
      <c r="C154" s="23">
        <f>'Expenses- BtoC'!D22</f>
        <v>0</v>
      </c>
      <c r="D154" s="23">
        <f>'Expenses- BtoC'!E22</f>
        <v>35000</v>
      </c>
      <c r="E154" s="23">
        <f>'Expenses- BtoC'!F22</f>
        <v>10000</v>
      </c>
      <c r="F154" s="182"/>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row>
    <row r="155" spans="2:43" ht="13.5">
      <c r="B155" s="25" t="s">
        <v>329</v>
      </c>
      <c r="C155" s="136">
        <f>C153-C154</f>
        <v>0</v>
      </c>
      <c r="D155" s="136">
        <f>D153-D154</f>
        <v>14750</v>
      </c>
      <c r="E155" s="136">
        <f>E153-E154</f>
        <v>64625</v>
      </c>
      <c r="F155" s="182"/>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row>
    <row r="156" spans="3:43" ht="13.5">
      <c r="C156" s="136"/>
      <c r="D156" s="136"/>
      <c r="E156" s="136"/>
      <c r="F156" s="182"/>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row>
    <row r="157" spans="3:43" ht="13.5">
      <c r="C157" s="136"/>
      <c r="D157" s="136"/>
      <c r="E157" s="136"/>
      <c r="F157" s="182"/>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row>
    <row r="158" spans="8:43" ht="13.5">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row>
    <row r="159" s="103" customFormat="1" ht="13.5">
      <c r="A159" s="329" t="s">
        <v>114</v>
      </c>
    </row>
    <row r="160" spans="1:2" ht="13.5">
      <c r="A160" s="99"/>
      <c r="B160" s="164" t="s">
        <v>115</v>
      </c>
    </row>
    <row r="161" spans="1:2" ht="13.5">
      <c r="A161" s="99"/>
      <c r="B161" s="164" t="s">
        <v>116</v>
      </c>
    </row>
    <row r="162" spans="1:2" ht="13.5">
      <c r="A162" s="99"/>
      <c r="B162" s="164" t="s">
        <v>117</v>
      </c>
    </row>
    <row r="163" spans="1:2" ht="13.5">
      <c r="A163" s="99"/>
      <c r="B163" s="164" t="s">
        <v>118</v>
      </c>
    </row>
    <row r="165" spans="3:5" ht="13.5">
      <c r="C165" s="169" t="s">
        <v>196</v>
      </c>
      <c r="D165" s="169" t="s">
        <v>197</v>
      </c>
      <c r="E165" s="169" t="s">
        <v>198</v>
      </c>
    </row>
    <row r="167" spans="1:43" ht="13.5">
      <c r="A167" s="25" t="s">
        <v>57</v>
      </c>
      <c r="C167" s="23">
        <f>'Revenue - B-to-C'!C24</f>
        <v>0</v>
      </c>
      <c r="D167" s="23">
        <f>'Revenue - B-to-C'!D24</f>
        <v>0</v>
      </c>
      <c r="E167" s="23">
        <f>'Revenue - B-to-C'!E24</f>
        <v>0</v>
      </c>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row>
    <row r="168" spans="1:43" ht="13.5">
      <c r="A168" s="25" t="s">
        <v>58</v>
      </c>
      <c r="C168" s="23">
        <f>'Expenses- BtoC'!D269</f>
        <v>0</v>
      </c>
      <c r="D168" s="23">
        <f>'Expenses- BtoC'!E269</f>
        <v>0</v>
      </c>
      <c r="E168" s="23">
        <f>'Expenses- BtoC'!F269</f>
        <v>0</v>
      </c>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row>
    <row r="169" spans="2:43" ht="13.5">
      <c r="B169" s="25" t="s">
        <v>329</v>
      </c>
      <c r="C169" s="23">
        <f>C167-C168</f>
        <v>0</v>
      </c>
      <c r="D169" s="23">
        <f>D167-D168</f>
        <v>0</v>
      </c>
      <c r="E169" s="23">
        <f>E167-E168</f>
        <v>0</v>
      </c>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row>
    <row r="173" spans="8:43" ht="13.5">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row>
    <row r="174" spans="8:43" ht="13.5">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2:AR223"/>
  <sheetViews>
    <sheetView zoomScale="110" zoomScaleNormal="110" workbookViewId="0" topLeftCell="A1">
      <selection activeCell="D71" sqref="D71"/>
    </sheetView>
  </sheetViews>
  <sheetFormatPr defaultColWidth="8.8515625" defaultRowHeight="12.75"/>
  <cols>
    <col min="1" max="1" width="4.28125" style="25" customWidth="1"/>
    <col min="2" max="2" width="3.7109375" style="25" customWidth="1"/>
    <col min="3" max="3" width="38.28125" style="25" bestFit="1" customWidth="1"/>
    <col min="4" max="5" width="11.8515625" style="25" customWidth="1"/>
    <col min="6" max="6" width="12.00390625" style="25" customWidth="1"/>
    <col min="7" max="7" width="12.8515625" style="25" customWidth="1"/>
    <col min="8" max="8" width="1.7109375" style="25" customWidth="1"/>
    <col min="9" max="9" width="11.00390625" style="25" customWidth="1"/>
    <col min="10" max="14" width="12.140625" style="25" customWidth="1"/>
    <col min="15" max="44" width="13.7109375" style="25" customWidth="1"/>
    <col min="45" max="16384" width="8.8515625" style="25" customWidth="1"/>
  </cols>
  <sheetData>
    <row r="1" ht="15" thickBot="1"/>
    <row r="2" spans="1:10" ht="13.5">
      <c r="A2" s="48"/>
      <c r="B2" s="270" t="s">
        <v>333</v>
      </c>
      <c r="C2" s="231"/>
      <c r="D2" s="327" t="s">
        <v>196</v>
      </c>
      <c r="E2" s="327" t="s">
        <v>197</v>
      </c>
      <c r="F2" s="327" t="s">
        <v>198</v>
      </c>
      <c r="G2" s="327" t="s">
        <v>207</v>
      </c>
      <c r="H2" s="231"/>
      <c r="I2" s="231"/>
      <c r="J2" s="232"/>
    </row>
    <row r="3" spans="1:10" ht="13.5">
      <c r="A3" s="48"/>
      <c r="B3" s="32"/>
      <c r="C3" s="26"/>
      <c r="D3" s="26"/>
      <c r="E3" s="26"/>
      <c r="F3" s="26"/>
      <c r="G3" s="26"/>
      <c r="H3" s="26"/>
      <c r="I3" s="26"/>
      <c r="J3" s="108"/>
    </row>
    <row r="4" spans="1:10" ht="13.5">
      <c r="A4" s="48"/>
      <c r="B4" s="32" t="s">
        <v>514</v>
      </c>
      <c r="C4" s="156"/>
      <c r="D4" s="23">
        <f>D57</f>
        <v>91880.41666666666</v>
      </c>
      <c r="E4" s="23">
        <f>E57</f>
        <v>170407.5</v>
      </c>
      <c r="F4" s="23">
        <f>F57</f>
        <v>245919.375</v>
      </c>
      <c r="G4" s="26" t="str">
        <f>'Revenue - B-to-B'!F4</f>
        <v>year 1 launch</v>
      </c>
      <c r="H4" s="26"/>
      <c r="I4" s="26"/>
      <c r="J4" s="108"/>
    </row>
    <row r="5" spans="1:10" ht="13.5">
      <c r="A5" s="48"/>
      <c r="B5" s="32"/>
      <c r="C5" s="156"/>
      <c r="D5" s="26"/>
      <c r="E5" s="26"/>
      <c r="F5" s="26"/>
      <c r="G5" s="26"/>
      <c r="H5" s="26"/>
      <c r="I5" s="26"/>
      <c r="J5" s="108"/>
    </row>
    <row r="6" spans="1:10" ht="13.5">
      <c r="A6" s="48"/>
      <c r="B6" s="32" t="s">
        <v>183</v>
      </c>
      <c r="C6" s="26"/>
      <c r="D6" s="23">
        <f>D83</f>
        <v>214666.66666666666</v>
      </c>
      <c r="E6" s="23">
        <f>E83</f>
        <v>284500</v>
      </c>
      <c r="F6" s="23">
        <f>F83</f>
        <v>348295</v>
      </c>
      <c r="G6" s="26" t="str">
        <f>'Revenue - B-to-B'!F6</f>
        <v>year 1 launch</v>
      </c>
      <c r="H6" s="26"/>
      <c r="I6" s="26"/>
      <c r="J6" s="108"/>
    </row>
    <row r="7" spans="1:10" ht="13.5">
      <c r="A7" s="48"/>
      <c r="B7" s="32"/>
      <c r="C7" s="26"/>
      <c r="D7" s="23"/>
      <c r="E7" s="23"/>
      <c r="F7" s="23"/>
      <c r="G7" s="26"/>
      <c r="H7" s="26"/>
      <c r="I7" s="26"/>
      <c r="J7" s="108"/>
    </row>
    <row r="8" spans="1:10" ht="13.5">
      <c r="A8" s="48"/>
      <c r="B8" s="32" t="s">
        <v>515</v>
      </c>
      <c r="C8" s="26"/>
      <c r="D8" s="23">
        <f>D105</f>
        <v>197291.6666666667</v>
      </c>
      <c r="E8" s="23">
        <f>E105</f>
        <v>169649.99999999997</v>
      </c>
      <c r="F8" s="23">
        <f>F105</f>
        <v>174439.49999999997</v>
      </c>
      <c r="G8" s="26" t="str">
        <f>'Revenue - B-to-B'!F8</f>
        <v>year 1 launch</v>
      </c>
      <c r="H8" s="26"/>
      <c r="I8" s="26"/>
      <c r="J8" s="108"/>
    </row>
    <row r="9" spans="1:10" ht="13.5">
      <c r="A9" s="48"/>
      <c r="B9" s="32"/>
      <c r="C9" s="156"/>
      <c r="D9" s="26"/>
      <c r="E9" s="26"/>
      <c r="F9" s="26"/>
      <c r="G9" s="26"/>
      <c r="H9" s="26"/>
      <c r="I9" s="26"/>
      <c r="J9" s="108"/>
    </row>
    <row r="10" spans="1:10" ht="13.5">
      <c r="A10" s="48"/>
      <c r="B10" s="32" t="s">
        <v>516</v>
      </c>
      <c r="C10" s="26"/>
      <c r="D10" s="23">
        <f>D126</f>
        <v>0</v>
      </c>
      <c r="E10" s="23">
        <f>E126</f>
        <v>0</v>
      </c>
      <c r="F10" s="23">
        <f>F126</f>
        <v>0</v>
      </c>
      <c r="G10" s="26" t="str">
        <f>'Revenue - B-to-B'!F10</f>
        <v>Don't do due to strong competition</v>
      </c>
      <c r="H10" s="26"/>
      <c r="I10" s="26"/>
      <c r="J10" s="108"/>
    </row>
    <row r="11" spans="1:10" ht="13.5">
      <c r="A11" s="48"/>
      <c r="B11" s="32"/>
      <c r="C11" s="26"/>
      <c r="D11" s="37"/>
      <c r="E11" s="37"/>
      <c r="F11" s="37"/>
      <c r="G11" s="26"/>
      <c r="H11" s="26"/>
      <c r="I11" s="26"/>
      <c r="J11" s="108"/>
    </row>
    <row r="12" spans="1:10" ht="13.5">
      <c r="A12" s="48"/>
      <c r="B12" s="32" t="s">
        <v>517</v>
      </c>
      <c r="C12" s="26"/>
      <c r="D12" s="23">
        <f>D161</f>
        <v>0</v>
      </c>
      <c r="E12" s="23">
        <f>E161</f>
        <v>183950</v>
      </c>
      <c r="F12" s="23">
        <f>F161</f>
        <v>175350</v>
      </c>
      <c r="G12" s="26" t="str">
        <f>'Revenue - B-to-B'!F12</f>
        <v>year 2 launch</v>
      </c>
      <c r="H12" s="26"/>
      <c r="I12" s="26"/>
      <c r="J12" s="108"/>
    </row>
    <row r="13" spans="1:10" ht="13.5">
      <c r="A13" s="48"/>
      <c r="B13" s="32"/>
      <c r="C13" s="26"/>
      <c r="D13" s="23"/>
      <c r="E13" s="23"/>
      <c r="F13" s="23"/>
      <c r="G13" s="26"/>
      <c r="H13" s="26"/>
      <c r="I13" s="26"/>
      <c r="J13" s="108"/>
    </row>
    <row r="14" spans="1:10" ht="13.5">
      <c r="A14" s="48"/>
      <c r="B14" s="32" t="s">
        <v>518</v>
      </c>
      <c r="C14" s="26"/>
      <c r="D14" s="23">
        <f>D179</f>
        <v>0</v>
      </c>
      <c r="E14" s="23">
        <f>E179</f>
        <v>41000</v>
      </c>
      <c r="F14" s="23">
        <f>F179</f>
        <v>54000</v>
      </c>
      <c r="G14" s="26" t="str">
        <f>'Revenue - B-to-B'!F14</f>
        <v>year 2 launch</v>
      </c>
      <c r="H14" s="26"/>
      <c r="I14" s="26"/>
      <c r="J14" s="108"/>
    </row>
    <row r="15" spans="1:10" ht="13.5">
      <c r="A15" s="48"/>
      <c r="B15" s="32"/>
      <c r="C15" s="26"/>
      <c r="D15" s="23"/>
      <c r="E15" s="23"/>
      <c r="F15" s="23"/>
      <c r="G15" s="26"/>
      <c r="H15" s="26"/>
      <c r="I15" s="26"/>
      <c r="J15" s="108"/>
    </row>
    <row r="16" spans="1:10" ht="13.5">
      <c r="A16" s="48"/>
      <c r="B16" s="32" t="s">
        <v>519</v>
      </c>
      <c r="C16" s="26"/>
      <c r="D16" s="23">
        <f>D200</f>
        <v>0</v>
      </c>
      <c r="E16" s="23">
        <f>E200</f>
        <v>0</v>
      </c>
      <c r="F16" s="23">
        <f>F200</f>
        <v>0</v>
      </c>
      <c r="G16" s="26" t="str">
        <f>'Revenue - B-to-B'!F16</f>
        <v>Not included in this model</v>
      </c>
      <c r="H16" s="26"/>
      <c r="I16" s="26"/>
      <c r="J16" s="108"/>
    </row>
    <row r="17" spans="1:10" ht="13.5">
      <c r="A17" s="48"/>
      <c r="B17" s="32"/>
      <c r="C17" s="26"/>
      <c r="D17" s="37"/>
      <c r="E17" s="37"/>
      <c r="F17" s="37"/>
      <c r="G17" s="26"/>
      <c r="H17" s="26"/>
      <c r="I17" s="26"/>
      <c r="J17" s="108"/>
    </row>
    <row r="18" spans="1:10" ht="13.5">
      <c r="A18" s="48"/>
      <c r="B18" s="32" t="s">
        <v>520</v>
      </c>
      <c r="C18" s="26"/>
      <c r="D18" s="23">
        <f>D219</f>
        <v>0</v>
      </c>
      <c r="E18" s="23">
        <f>E219</f>
        <v>0</v>
      </c>
      <c r="F18" s="23">
        <f>F219</f>
        <v>0</v>
      </c>
      <c r="G18" s="26" t="str">
        <f>'Revenue - B-to-B'!F18</f>
        <v>Not included in this model</v>
      </c>
      <c r="H18" s="26"/>
      <c r="I18" s="26"/>
      <c r="J18" s="108"/>
    </row>
    <row r="19" spans="1:10" ht="13.5">
      <c r="A19" s="48"/>
      <c r="B19" s="32"/>
      <c r="C19" s="26"/>
      <c r="D19" s="23"/>
      <c r="E19" s="23"/>
      <c r="F19" s="23"/>
      <c r="G19" s="26"/>
      <c r="H19" s="26"/>
      <c r="I19" s="26"/>
      <c r="J19" s="108"/>
    </row>
    <row r="20" spans="1:10" ht="15" thickBot="1">
      <c r="A20" s="48"/>
      <c r="B20" s="159"/>
      <c r="C20" s="160"/>
      <c r="D20" s="138"/>
      <c r="E20" s="138"/>
      <c r="F20" s="138"/>
      <c r="G20" s="138"/>
      <c r="H20" s="138"/>
      <c r="I20" s="138"/>
      <c r="J20" s="161"/>
    </row>
    <row r="21" spans="1:10" ht="13.5">
      <c r="A21" s="48"/>
      <c r="B21" s="32"/>
      <c r="C21" s="26"/>
      <c r="D21" s="26"/>
      <c r="E21" s="26"/>
      <c r="F21" s="26"/>
      <c r="G21" s="26"/>
      <c r="H21" s="26"/>
      <c r="I21" s="26"/>
      <c r="J21" s="108"/>
    </row>
    <row r="22" spans="1:10" ht="13.5">
      <c r="A22" s="48"/>
      <c r="B22" s="162" t="s">
        <v>240</v>
      </c>
      <c r="C22" s="26"/>
      <c r="D22" s="23">
        <f>SUM(D4:D19)</f>
        <v>503838.75</v>
      </c>
      <c r="E22" s="23">
        <f>SUM(E4:E19)</f>
        <v>849507.5</v>
      </c>
      <c r="F22" s="23">
        <f>SUM(F4:F19)</f>
        <v>998003.875</v>
      </c>
      <c r="G22" s="26"/>
      <c r="H22" s="26"/>
      <c r="I22" s="26"/>
      <c r="J22" s="108"/>
    </row>
    <row r="23" spans="1:10" ht="15" thickBot="1">
      <c r="A23" s="48"/>
      <c r="B23" s="159"/>
      <c r="C23" s="138"/>
      <c r="D23" s="138"/>
      <c r="E23" s="138"/>
      <c r="F23" s="138"/>
      <c r="G23" s="138"/>
      <c r="H23" s="138"/>
      <c r="I23" s="138"/>
      <c r="J23" s="161"/>
    </row>
    <row r="24" spans="1:7" ht="13.5">
      <c r="A24" s="48"/>
      <c r="B24" s="48"/>
      <c r="C24" s="55"/>
      <c r="E24" s="132"/>
      <c r="F24" s="141"/>
      <c r="G24" s="132"/>
    </row>
    <row r="25" spans="1:7" ht="13.5">
      <c r="A25" s="48"/>
      <c r="B25" s="48"/>
      <c r="C25" s="55"/>
      <c r="E25" s="132"/>
      <c r="F25" s="141"/>
      <c r="G25" s="132"/>
    </row>
    <row r="26" spans="1:7" ht="13.5">
      <c r="A26" s="48"/>
      <c r="B26" s="48"/>
      <c r="C26" s="55"/>
      <c r="E26" s="132"/>
      <c r="F26" s="141"/>
      <c r="G26" s="132"/>
    </row>
    <row r="27" spans="1:8" ht="13.5">
      <c r="A27" s="197" t="s">
        <v>1</v>
      </c>
      <c r="B27" s="167"/>
      <c r="H27" s="164"/>
    </row>
    <row r="28" spans="1:8" ht="13.5">
      <c r="A28" s="171"/>
      <c r="B28" s="25" t="s">
        <v>403</v>
      </c>
      <c r="H28" s="164"/>
    </row>
    <row r="29" spans="1:8" ht="13.5">
      <c r="A29" s="171"/>
      <c r="B29" s="25" t="s">
        <v>460</v>
      </c>
      <c r="H29" s="164"/>
    </row>
    <row r="30" spans="1:2" ht="13.5">
      <c r="A30" s="171"/>
      <c r="B30" s="164" t="s">
        <v>547</v>
      </c>
    </row>
    <row r="31" ht="13.5">
      <c r="B31" s="164" t="s">
        <v>548</v>
      </c>
    </row>
    <row r="32" ht="13.5">
      <c r="B32" s="164" t="s">
        <v>549</v>
      </c>
    </row>
    <row r="33" ht="13.5">
      <c r="B33" s="164" t="s">
        <v>2</v>
      </c>
    </row>
    <row r="34" ht="15" thickBot="1"/>
    <row r="35" spans="2:8" ht="13.5">
      <c r="B35" s="70" t="s">
        <v>408</v>
      </c>
      <c r="C35" s="71"/>
      <c r="D35" s="71"/>
      <c r="E35" s="71"/>
      <c r="F35" s="330"/>
      <c r="H35" s="164"/>
    </row>
    <row r="36" spans="2:10" ht="13.5">
      <c r="B36" s="16"/>
      <c r="C36" s="48"/>
      <c r="D36" s="55" t="s">
        <v>196</v>
      </c>
      <c r="E36" s="55" t="s">
        <v>197</v>
      </c>
      <c r="F36" s="130" t="s">
        <v>198</v>
      </c>
      <c r="J36" s="48"/>
    </row>
    <row r="37" spans="2:6" ht="13.5">
      <c r="B37" s="16"/>
      <c r="C37" s="48" t="s">
        <v>61</v>
      </c>
      <c r="D37" s="84">
        <v>6000</v>
      </c>
      <c r="E37" s="84">
        <v>6000</v>
      </c>
      <c r="F37" s="85">
        <v>6000</v>
      </c>
    </row>
    <row r="38" spans="2:10" ht="13.5">
      <c r="B38" s="16"/>
      <c r="C38" s="48"/>
      <c r="D38" s="55"/>
      <c r="E38" s="55"/>
      <c r="F38" s="130"/>
      <c r="H38" s="164"/>
      <c r="J38" s="48"/>
    </row>
    <row r="39" spans="2:10" ht="13.5">
      <c r="B39" s="16"/>
      <c r="C39" s="48" t="s">
        <v>161</v>
      </c>
      <c r="D39" s="86">
        <v>5000</v>
      </c>
      <c r="E39" s="86">
        <v>5000</v>
      </c>
      <c r="F39" s="87">
        <v>5000</v>
      </c>
      <c r="H39" s="164"/>
      <c r="J39" s="17"/>
    </row>
    <row r="40" spans="2:10" ht="13.5">
      <c r="B40" s="16"/>
      <c r="C40" s="17" t="s">
        <v>162</v>
      </c>
      <c r="D40" s="74">
        <v>0.25</v>
      </c>
      <c r="E40" s="74">
        <v>0.25</v>
      </c>
      <c r="F40" s="75">
        <v>0.25</v>
      </c>
      <c r="J40" s="17"/>
    </row>
    <row r="41" spans="2:10" ht="13.5">
      <c r="B41" s="16"/>
      <c r="D41" s="55"/>
      <c r="E41" s="55"/>
      <c r="F41" s="130"/>
      <c r="H41" s="164"/>
      <c r="J41" s="17"/>
    </row>
    <row r="42" spans="2:10" ht="13.5">
      <c r="B42" s="16"/>
      <c r="C42" s="17" t="s">
        <v>163</v>
      </c>
      <c r="D42" s="183">
        <f>Staffing!K142</f>
        <v>51510.41666666666</v>
      </c>
      <c r="E42" s="183">
        <f>Staffing!L142</f>
        <v>130037.5</v>
      </c>
      <c r="F42" s="184">
        <f>Staffing!M142</f>
        <v>205549.375</v>
      </c>
      <c r="H42" s="164"/>
      <c r="J42" s="17"/>
    </row>
    <row r="43" spans="2:10" ht="13.5">
      <c r="B43" s="16"/>
      <c r="C43" s="17"/>
      <c r="D43" s="183"/>
      <c r="E43" s="183"/>
      <c r="F43" s="184"/>
      <c r="H43" s="164"/>
      <c r="J43" s="17"/>
    </row>
    <row r="44" spans="2:10" ht="13.5">
      <c r="B44" s="16"/>
      <c r="C44" s="8" t="s">
        <v>66</v>
      </c>
      <c r="D44" s="76">
        <v>0.3</v>
      </c>
      <c r="E44" s="76">
        <v>0.3</v>
      </c>
      <c r="F44" s="69">
        <v>0.3</v>
      </c>
      <c r="H44" s="164"/>
      <c r="J44" s="48"/>
    </row>
    <row r="45" spans="2:10" ht="13.5">
      <c r="B45" s="16"/>
      <c r="C45" s="17" t="s">
        <v>67</v>
      </c>
      <c r="D45" s="183">
        <f>D44*('Revenue - B-to-B'!C68*'Revenue - B-to-B'!C69*'Revenue - B-to-B'!C70)</f>
        <v>3120</v>
      </c>
      <c r="E45" s="183">
        <f>E44*('Revenue - B-to-B'!D68*'Revenue - B-to-B'!D69*'Revenue - B-to-B'!D70)</f>
        <v>3120</v>
      </c>
      <c r="F45" s="184">
        <f>F44*('Revenue - B-to-B'!E68*'Revenue - B-to-B'!E69*'Revenue - B-to-B'!E70)</f>
        <v>3120</v>
      </c>
      <c r="H45" s="164"/>
      <c r="J45" s="48"/>
    </row>
    <row r="46" spans="2:10" ht="13.5">
      <c r="B46" s="16"/>
      <c r="D46" s="183"/>
      <c r="E46" s="183"/>
      <c r="F46" s="184"/>
      <c r="H46" s="164"/>
      <c r="J46" s="48"/>
    </row>
    <row r="47" spans="2:10" ht="13.5">
      <c r="B47" s="16"/>
      <c r="C47" s="8" t="s">
        <v>68</v>
      </c>
      <c r="D47" s="84">
        <v>6000</v>
      </c>
      <c r="E47" s="84">
        <v>6000</v>
      </c>
      <c r="F47" s="85">
        <v>6000</v>
      </c>
      <c r="H47" s="164"/>
      <c r="J47" s="48"/>
    </row>
    <row r="48" spans="2:10" ht="13.5">
      <c r="B48" s="16"/>
      <c r="D48" s="183"/>
      <c r="E48" s="183"/>
      <c r="F48" s="184"/>
      <c r="H48" s="164"/>
      <c r="J48" s="48"/>
    </row>
    <row r="49" spans="2:10" ht="13.5">
      <c r="B49" s="16"/>
      <c r="C49" s="17" t="s">
        <v>70</v>
      </c>
      <c r="D49" s="84">
        <v>9000</v>
      </c>
      <c r="E49" s="84">
        <v>9000</v>
      </c>
      <c r="F49" s="85">
        <v>9000</v>
      </c>
      <c r="H49" s="164"/>
      <c r="J49" s="17"/>
    </row>
    <row r="50" spans="2:10" ht="13.5">
      <c r="B50" s="16"/>
      <c r="C50" s="17" t="s">
        <v>334</v>
      </c>
      <c r="D50" s="84">
        <v>5</v>
      </c>
      <c r="E50" s="84">
        <v>5</v>
      </c>
      <c r="F50" s="85">
        <v>5</v>
      </c>
      <c r="H50" s="164"/>
      <c r="J50" s="17"/>
    </row>
    <row r="51" spans="2:10" ht="13.5">
      <c r="B51" s="16"/>
      <c r="C51" s="17" t="s">
        <v>335</v>
      </c>
      <c r="D51" s="183">
        <f>D50*'Revenue - B-to-B'!C62*'Revenue - B-to-B'!C63*'Revenue - B-to-B'!C64</f>
        <v>15000</v>
      </c>
      <c r="E51" s="183">
        <f>E50*'Revenue - B-to-B'!D62*'Revenue - B-to-B'!D63*'Revenue - B-to-B'!D64</f>
        <v>15000</v>
      </c>
      <c r="F51" s="184">
        <f>F50*'Revenue - B-to-B'!E62*'Revenue - B-to-B'!E63*'Revenue - B-to-B'!E64</f>
        <v>15000</v>
      </c>
      <c r="H51" s="164"/>
      <c r="J51" s="17"/>
    </row>
    <row r="52" spans="2:6" ht="13.5">
      <c r="B52" s="16"/>
      <c r="C52" s="17"/>
      <c r="D52" s="17"/>
      <c r="E52" s="17"/>
      <c r="F52" s="18"/>
    </row>
    <row r="53" spans="2:6" ht="15" thickBot="1">
      <c r="B53" s="19"/>
      <c r="C53" s="20"/>
      <c r="D53" s="20"/>
      <c r="E53" s="20"/>
      <c r="F53" s="21"/>
    </row>
    <row r="55" spans="4:6" ht="13.5">
      <c r="D55" s="169" t="s">
        <v>196</v>
      </c>
      <c r="E55" s="169" t="s">
        <v>197</v>
      </c>
      <c r="F55" s="169" t="s">
        <v>198</v>
      </c>
    </row>
    <row r="56" ht="13.5">
      <c r="B56" s="99"/>
    </row>
    <row r="57" spans="2:43" ht="13.5">
      <c r="B57" s="25" t="s">
        <v>514</v>
      </c>
      <c r="D57" s="23">
        <f>D37+(D39*D40)+D42+((D45+D47+D49+D51)*'Revenue - B-to-B'!C62)</f>
        <v>91880.41666666666</v>
      </c>
      <c r="E57" s="23">
        <f>E37+(E39*E40)+E42+((E45+E47+E49+E51)*'Revenue - B-to-B'!D62)</f>
        <v>170407.5</v>
      </c>
      <c r="F57" s="23">
        <f>F37+(F39*F40)+F42+((F45+F47+F49+F51)*'Revenue - B-to-B'!E62)</f>
        <v>245919.375</v>
      </c>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row>
    <row r="58" spans="1:3" ht="13.5">
      <c r="A58" s="99"/>
      <c r="C58" s="136"/>
    </row>
    <row r="61" spans="1:2" ht="13.5">
      <c r="A61" s="197" t="s">
        <v>13</v>
      </c>
      <c r="B61" s="167"/>
    </row>
    <row r="62" spans="1:2" ht="13.5">
      <c r="A62" s="99"/>
      <c r="B62" s="25" t="s">
        <v>14</v>
      </c>
    </row>
    <row r="63" spans="1:2" ht="13.5">
      <c r="A63" s="99"/>
      <c r="B63" s="164" t="s">
        <v>15</v>
      </c>
    </row>
    <row r="64" spans="1:2" ht="13.5">
      <c r="A64" s="99"/>
      <c r="B64" s="164" t="s">
        <v>16</v>
      </c>
    </row>
    <row r="65" spans="1:2" ht="13.5">
      <c r="A65" s="99"/>
      <c r="B65" s="164" t="s">
        <v>17</v>
      </c>
    </row>
    <row r="66" ht="15" thickBot="1"/>
    <row r="67" spans="2:6" ht="13.5">
      <c r="B67" s="70" t="s">
        <v>408</v>
      </c>
      <c r="C67" s="71"/>
      <c r="D67" s="71"/>
      <c r="E67" s="71"/>
      <c r="F67" s="330"/>
    </row>
    <row r="68" spans="2:6" ht="13.5">
      <c r="B68" s="16"/>
      <c r="C68" s="48"/>
      <c r="D68" s="55" t="s">
        <v>196</v>
      </c>
      <c r="E68" s="55" t="s">
        <v>197</v>
      </c>
      <c r="F68" s="130" t="s">
        <v>198</v>
      </c>
    </row>
    <row r="69" spans="2:43" ht="13.5">
      <c r="B69" s="16"/>
      <c r="C69" s="48" t="s">
        <v>61</v>
      </c>
      <c r="D69" s="84">
        <v>5000</v>
      </c>
      <c r="E69" s="84">
        <v>5000</v>
      </c>
      <c r="F69" s="85">
        <v>5000</v>
      </c>
      <c r="H69" s="30"/>
      <c r="I69" s="30"/>
      <c r="J69" s="48"/>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row>
    <row r="70" spans="2:10" ht="13.5">
      <c r="B70" s="16"/>
      <c r="C70" s="26"/>
      <c r="D70" s="11"/>
      <c r="E70" s="11"/>
      <c r="F70" s="166"/>
      <c r="J70" s="26"/>
    </row>
    <row r="71" spans="2:10" ht="13.5">
      <c r="B71" s="16"/>
      <c r="C71" s="26" t="s">
        <v>65</v>
      </c>
      <c r="D71" s="183">
        <f>Staffing!K148</f>
        <v>41666.66666666666</v>
      </c>
      <c r="E71" s="183">
        <f>Staffing!L148</f>
        <v>51500</v>
      </c>
      <c r="F71" s="184">
        <f>Staffing!M148</f>
        <v>53045</v>
      </c>
      <c r="J71" s="26"/>
    </row>
    <row r="72" spans="2:10" ht="13.5">
      <c r="B72" s="16"/>
      <c r="C72" s="26"/>
      <c r="D72" s="11"/>
      <c r="E72" s="11"/>
      <c r="F72" s="166"/>
      <c r="J72" s="26"/>
    </row>
    <row r="73" spans="2:10" ht="13.5">
      <c r="B73" s="179">
        <v>0.05</v>
      </c>
      <c r="C73" s="48" t="s">
        <v>336</v>
      </c>
      <c r="D73" s="84">
        <v>10000</v>
      </c>
      <c r="E73" s="183">
        <f>D73*(1+B73)</f>
        <v>10500</v>
      </c>
      <c r="F73" s="184">
        <f>E73*(1+B73)</f>
        <v>11025</v>
      </c>
      <c r="J73" s="48"/>
    </row>
    <row r="74" spans="2:10" ht="13.5">
      <c r="B74" s="179">
        <v>0.05</v>
      </c>
      <c r="C74" s="48" t="s">
        <v>337</v>
      </c>
      <c r="D74" s="84">
        <v>10000</v>
      </c>
      <c r="E74" s="183">
        <f>D74*(1+B74)</f>
        <v>10500</v>
      </c>
      <c r="F74" s="184">
        <f>E74*(1+B74)</f>
        <v>11025</v>
      </c>
      <c r="J74" s="48"/>
    </row>
    <row r="75" spans="2:10" ht="13.5">
      <c r="B75" s="16"/>
      <c r="C75" s="165"/>
      <c r="D75" s="11"/>
      <c r="E75" s="11"/>
      <c r="F75" s="166"/>
      <c r="J75" s="165"/>
    </row>
    <row r="76" spans="2:10" ht="13.5">
      <c r="B76" s="16"/>
      <c r="C76" s="165" t="s">
        <v>75</v>
      </c>
      <c r="D76" s="76">
        <v>0.2</v>
      </c>
      <c r="E76" s="76">
        <v>0.2</v>
      </c>
      <c r="F76" s="69">
        <v>0.2</v>
      </c>
      <c r="J76" s="165"/>
    </row>
    <row r="77" spans="2:10" ht="13.5">
      <c r="B77" s="16"/>
      <c r="C77" s="165" t="s">
        <v>338</v>
      </c>
      <c r="D77" s="183">
        <f>D76*('Revenue - B-to-B'!C91*'Revenue - B-to-B'!C92*'Revenue - B-to-B'!C96*'Revenue - B-to-B'!C107)</f>
        <v>36000</v>
      </c>
      <c r="E77" s="183">
        <f>E76*('Revenue - B-to-B'!D91*'Revenue - B-to-B'!D92*'Revenue - B-to-B'!D96*'Revenue - B-to-B'!D107)</f>
        <v>36000</v>
      </c>
      <c r="F77" s="184">
        <f>F76*('Revenue - B-to-B'!E91*'Revenue - B-to-B'!E92*'Revenue - B-to-B'!E96*'Revenue - B-to-B'!E107)</f>
        <v>36000</v>
      </c>
      <c r="J77" s="165"/>
    </row>
    <row r="78" spans="2:10" ht="13.5">
      <c r="B78" s="16"/>
      <c r="C78" s="17"/>
      <c r="D78" s="17"/>
      <c r="E78" s="17"/>
      <c r="F78" s="18"/>
      <c r="J78" s="165"/>
    </row>
    <row r="79" spans="2:10" ht="15" thickBot="1">
      <c r="B79" s="19"/>
      <c r="C79" s="20"/>
      <c r="D79" s="20"/>
      <c r="E79" s="20"/>
      <c r="F79" s="21"/>
      <c r="J79" s="165"/>
    </row>
    <row r="81" spans="4:6" ht="13.5">
      <c r="D81" s="169" t="s">
        <v>196</v>
      </c>
      <c r="E81" s="169" t="s">
        <v>197</v>
      </c>
      <c r="F81" s="169" t="s">
        <v>198</v>
      </c>
    </row>
    <row r="82" ht="13.5">
      <c r="B82" s="99"/>
    </row>
    <row r="83" spans="2:43" ht="13.5">
      <c r="B83" s="25" t="s">
        <v>264</v>
      </c>
      <c r="D83" s="23">
        <f>D69+D71+((D73+D74+D77)*'Revenue - B-to-B'!C102)</f>
        <v>214666.66666666666</v>
      </c>
      <c r="E83" s="23">
        <f>E69+E71+((E73+E74+E77)*'Revenue - B-to-B'!D102)</f>
        <v>284500</v>
      </c>
      <c r="F83" s="23">
        <f>F69+F71+((F73+F74+F77)*'Revenue - B-to-B'!E102)</f>
        <v>348295</v>
      </c>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row>
    <row r="87" spans="1:7" ht="13.5">
      <c r="A87" s="197" t="s">
        <v>219</v>
      </c>
      <c r="B87" s="167"/>
      <c r="C87" s="55"/>
      <c r="E87" s="132"/>
      <c r="F87" s="141"/>
      <c r="G87" s="132"/>
    </row>
    <row r="88" spans="1:7" ht="13.5">
      <c r="A88" s="99"/>
      <c r="B88" s="25" t="s">
        <v>397</v>
      </c>
      <c r="C88" s="55"/>
      <c r="E88" s="132"/>
      <c r="F88" s="141"/>
      <c r="G88" s="132"/>
    </row>
    <row r="89" spans="1:2" ht="13.5">
      <c r="A89" s="99"/>
      <c r="B89" s="25" t="s">
        <v>186</v>
      </c>
    </row>
    <row r="90" spans="1:2" ht="13.5">
      <c r="A90" s="99"/>
      <c r="B90" s="25" t="s">
        <v>187</v>
      </c>
    </row>
    <row r="91" spans="1:2" ht="13.5">
      <c r="A91" s="99"/>
      <c r="B91" s="164" t="s">
        <v>220</v>
      </c>
    </row>
    <row r="92" ht="15" thickBot="1"/>
    <row r="93" spans="2:6" ht="13.5">
      <c r="B93" s="70" t="s">
        <v>408</v>
      </c>
      <c r="C93" s="71"/>
      <c r="D93" s="71"/>
      <c r="E93" s="71"/>
      <c r="F93" s="330"/>
    </row>
    <row r="94" spans="2:6" ht="13.5">
      <c r="B94" s="16"/>
      <c r="C94" s="48"/>
      <c r="D94" s="55" t="s">
        <v>196</v>
      </c>
      <c r="E94" s="55" t="s">
        <v>197</v>
      </c>
      <c r="F94" s="130" t="s">
        <v>198</v>
      </c>
    </row>
    <row r="95" spans="2:6" ht="13.5">
      <c r="B95" s="16"/>
      <c r="C95" s="165" t="s">
        <v>61</v>
      </c>
      <c r="D95" s="84">
        <v>50000</v>
      </c>
      <c r="E95" s="191"/>
      <c r="F95" s="192"/>
    </row>
    <row r="96" spans="2:6" ht="13.5">
      <c r="B96" s="16"/>
      <c r="C96" s="17"/>
      <c r="D96" s="173"/>
      <c r="E96" s="173"/>
      <c r="F96" s="174"/>
    </row>
    <row r="97" spans="2:6" ht="13.5">
      <c r="B97" s="16"/>
      <c r="C97" s="17" t="s">
        <v>163</v>
      </c>
      <c r="D97" s="183">
        <f>Staffing!K155</f>
        <v>137291.6666666667</v>
      </c>
      <c r="E97" s="183">
        <f>Staffing!L155</f>
        <v>159649.99999999997</v>
      </c>
      <c r="F97" s="184">
        <f>Staffing!M155</f>
        <v>164439.49999999997</v>
      </c>
    </row>
    <row r="98" spans="2:6" ht="13.5">
      <c r="B98" s="16"/>
      <c r="C98" s="17"/>
      <c r="D98" s="183"/>
      <c r="E98" s="183"/>
      <c r="F98" s="184"/>
    </row>
    <row r="99" spans="2:6" ht="13.5">
      <c r="B99" s="16"/>
      <c r="C99" s="17" t="s">
        <v>176</v>
      </c>
      <c r="D99" s="84">
        <v>10000</v>
      </c>
      <c r="E99" s="84">
        <v>10000</v>
      </c>
      <c r="F99" s="85">
        <v>10000</v>
      </c>
    </row>
    <row r="100" spans="2:6" ht="13.5">
      <c r="B100" s="16"/>
      <c r="C100" s="17"/>
      <c r="D100" s="12"/>
      <c r="E100" s="12"/>
      <c r="F100" s="168"/>
    </row>
    <row r="101" spans="2:6" ht="15" thickBot="1">
      <c r="B101" s="19"/>
      <c r="C101" s="20"/>
      <c r="D101" s="20"/>
      <c r="E101" s="20"/>
      <c r="F101" s="21"/>
    </row>
    <row r="103" spans="4:6" ht="13.5">
      <c r="D103" s="169" t="s">
        <v>196</v>
      </c>
      <c r="E103" s="169" t="s">
        <v>197</v>
      </c>
      <c r="F103" s="169" t="s">
        <v>198</v>
      </c>
    </row>
    <row r="105" spans="2:6" ht="13.5">
      <c r="B105" s="25" t="s">
        <v>515</v>
      </c>
      <c r="D105" s="23">
        <f>D95+D97+D99</f>
        <v>197291.6666666667</v>
      </c>
      <c r="E105" s="23">
        <f>E95+E97+E99</f>
        <v>169649.99999999997</v>
      </c>
      <c r="F105" s="23">
        <f>F95+F97+F99</f>
        <v>174439.49999999997</v>
      </c>
    </row>
    <row r="109" spans="1:2" ht="13.5">
      <c r="A109" s="197" t="s">
        <v>35</v>
      </c>
      <c r="B109" s="167"/>
    </row>
    <row r="110" spans="1:2" ht="13.5">
      <c r="A110" s="99"/>
      <c r="B110" s="164" t="s">
        <v>404</v>
      </c>
    </row>
    <row r="111" spans="1:2" ht="13.5">
      <c r="A111" s="99"/>
      <c r="B111" s="25" t="s">
        <v>190</v>
      </c>
    </row>
    <row r="112" spans="1:2" ht="13.5">
      <c r="A112" s="99"/>
      <c r="B112" s="164" t="s">
        <v>339</v>
      </c>
    </row>
    <row r="113" spans="1:2" ht="13.5">
      <c r="A113" s="99"/>
      <c r="B113" s="164" t="s">
        <v>37</v>
      </c>
    </row>
    <row r="114" spans="1:2" ht="13.5">
      <c r="A114" s="99"/>
      <c r="B114" s="204" t="s">
        <v>38</v>
      </c>
    </row>
    <row r="115" spans="1:2" ht="13.5">
      <c r="A115" s="99"/>
      <c r="B115" s="178" t="s">
        <v>39</v>
      </c>
    </row>
    <row r="116" ht="15" thickBot="1">
      <c r="A116" s="171"/>
    </row>
    <row r="117" spans="2:6" ht="13.5">
      <c r="B117" s="70" t="s">
        <v>408</v>
      </c>
      <c r="C117" s="71"/>
      <c r="D117" s="71"/>
      <c r="E117" s="71"/>
      <c r="F117" s="330"/>
    </row>
    <row r="118" spans="2:6" ht="13.5">
      <c r="B118" s="16"/>
      <c r="C118" s="48"/>
      <c r="D118" s="55" t="s">
        <v>196</v>
      </c>
      <c r="E118" s="55" t="s">
        <v>197</v>
      </c>
      <c r="F118" s="130" t="s">
        <v>198</v>
      </c>
    </row>
    <row r="119" spans="2:6" ht="13.5">
      <c r="B119" s="16"/>
      <c r="C119" s="48"/>
      <c r="D119" s="17"/>
      <c r="E119" s="17"/>
      <c r="F119" s="18"/>
    </row>
    <row r="120" spans="2:6" ht="13.5">
      <c r="B120" s="16"/>
      <c r="C120" s="17"/>
      <c r="D120" s="23"/>
      <c r="E120" s="23"/>
      <c r="F120" s="112"/>
    </row>
    <row r="121" spans="2:6" ht="13.5">
      <c r="B121" s="16"/>
      <c r="C121" s="17"/>
      <c r="D121" s="23"/>
      <c r="E121" s="23"/>
      <c r="F121" s="112"/>
    </row>
    <row r="122" spans="2:6" ht="15" thickBot="1">
      <c r="B122" s="19"/>
      <c r="C122" s="20"/>
      <c r="D122" s="20"/>
      <c r="E122" s="20"/>
      <c r="F122" s="21"/>
    </row>
    <row r="123" ht="13.5">
      <c r="B123" s="171"/>
    </row>
    <row r="124" spans="4:6" ht="13.5">
      <c r="D124" s="169" t="s">
        <v>196</v>
      </c>
      <c r="E124" s="169" t="s">
        <v>197</v>
      </c>
      <c r="F124" s="169" t="s">
        <v>198</v>
      </c>
    </row>
    <row r="126" spans="2:43" ht="13.5">
      <c r="B126" s="25" t="s">
        <v>516</v>
      </c>
      <c r="D126" s="23"/>
      <c r="E126" s="23">
        <v>0</v>
      </c>
      <c r="F126" s="23">
        <v>0</v>
      </c>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row>
    <row r="129" spans="3:43" ht="13.5">
      <c r="C129" s="172"/>
      <c r="D129" s="172"/>
      <c r="E129" s="172"/>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row>
    <row r="130" ht="13.5">
      <c r="A130" s="99" t="s">
        <v>53</v>
      </c>
    </row>
    <row r="131" spans="1:2" ht="13.5">
      <c r="A131" s="99"/>
      <c r="B131" s="164" t="s">
        <v>54</v>
      </c>
    </row>
    <row r="132" spans="1:2" ht="13.5">
      <c r="A132" s="99"/>
      <c r="B132" s="164" t="s">
        <v>272</v>
      </c>
    </row>
    <row r="133" spans="1:2" ht="13.5">
      <c r="A133" s="99"/>
      <c r="B133" s="164" t="s">
        <v>273</v>
      </c>
    </row>
    <row r="134" ht="15" thickBot="1"/>
    <row r="135" spans="2:10" ht="13.5">
      <c r="B135" s="70" t="s">
        <v>408</v>
      </c>
      <c r="C135" s="71"/>
      <c r="D135" s="71"/>
      <c r="E135" s="71"/>
      <c r="F135" s="330"/>
      <c r="G135" s="167"/>
      <c r="H135" s="167"/>
      <c r="I135" s="167"/>
      <c r="J135" s="167"/>
    </row>
    <row r="136" spans="2:6" ht="13.5">
      <c r="B136" s="16"/>
      <c r="C136" s="48"/>
      <c r="D136" s="55" t="s">
        <v>196</v>
      </c>
      <c r="E136" s="55" t="s">
        <v>197</v>
      </c>
      <c r="F136" s="130" t="s">
        <v>198</v>
      </c>
    </row>
    <row r="137" spans="2:7" ht="13.5">
      <c r="B137" s="16"/>
      <c r="C137" s="17" t="s">
        <v>61</v>
      </c>
      <c r="D137" s="17"/>
      <c r="E137" s="84">
        <v>105000</v>
      </c>
      <c r="F137" s="18"/>
      <c r="G137" s="25" t="s">
        <v>340</v>
      </c>
    </row>
    <row r="138" spans="2:6" ht="13.5">
      <c r="B138" s="16"/>
      <c r="C138" s="17"/>
      <c r="D138" s="17"/>
      <c r="E138" s="17"/>
      <c r="F138" s="18"/>
    </row>
    <row r="139" spans="2:7" ht="13.5">
      <c r="B139" s="16"/>
      <c r="C139" s="17" t="s">
        <v>341</v>
      </c>
      <c r="D139" s="17"/>
      <c r="E139" s="84">
        <v>0</v>
      </c>
      <c r="F139" s="85">
        <f>5000*10</f>
        <v>50000</v>
      </c>
      <c r="G139" s="25" t="s">
        <v>342</v>
      </c>
    </row>
    <row r="140" spans="2:9" ht="13.5">
      <c r="B140" s="16"/>
      <c r="C140" s="17"/>
      <c r="D140" s="17"/>
      <c r="E140" s="17"/>
      <c r="F140" s="18"/>
      <c r="I140" s="205"/>
    </row>
    <row r="141" spans="2:9" ht="13.5">
      <c r="B141" s="16"/>
      <c r="C141" s="17" t="s">
        <v>163</v>
      </c>
      <c r="D141" s="17"/>
      <c r="E141" s="183">
        <f>Staffing!K161</f>
        <v>37499.99999999999</v>
      </c>
      <c r="F141" s="112">
        <f>Staffing!L161</f>
        <v>51500</v>
      </c>
      <c r="I141" s="205"/>
    </row>
    <row r="142" spans="2:9" ht="13.5">
      <c r="B142" s="16"/>
      <c r="C142" s="17"/>
      <c r="D142" s="17"/>
      <c r="E142" s="17"/>
      <c r="F142" s="18"/>
      <c r="I142" s="205"/>
    </row>
    <row r="143" spans="2:6" ht="13.5">
      <c r="B143" s="16"/>
      <c r="C143" s="17" t="s">
        <v>343</v>
      </c>
      <c r="D143" s="17"/>
      <c r="E143" s="17"/>
      <c r="F143" s="18"/>
    </row>
    <row r="144" spans="2:6" ht="13.5">
      <c r="B144" s="16"/>
      <c r="C144" s="199" t="s">
        <v>344</v>
      </c>
      <c r="D144" s="17"/>
      <c r="E144" s="76">
        <v>0.15</v>
      </c>
      <c r="F144" s="69">
        <v>0.15</v>
      </c>
    </row>
    <row r="145" spans="2:6" ht="13.5">
      <c r="B145" s="16"/>
      <c r="C145" s="199" t="s">
        <v>345</v>
      </c>
      <c r="D145" s="17"/>
      <c r="E145" s="23">
        <f>E144*'Revenue - B-to-B'!D244</f>
        <v>20250</v>
      </c>
      <c r="F145" s="112">
        <f>F144*'Revenue - B-to-B'!E244</f>
        <v>20250</v>
      </c>
    </row>
    <row r="146" spans="2:6" ht="13.5">
      <c r="B146" s="16"/>
      <c r="C146" s="17"/>
      <c r="D146" s="17"/>
      <c r="E146" s="17"/>
      <c r="F146" s="18"/>
    </row>
    <row r="147" spans="2:6" ht="13.5">
      <c r="B147" s="16"/>
      <c r="C147" s="17" t="s">
        <v>346</v>
      </c>
      <c r="D147" s="17"/>
      <c r="E147" s="17"/>
      <c r="F147" s="18"/>
    </row>
    <row r="148" spans="2:6" ht="13.5">
      <c r="B148" s="16"/>
      <c r="C148" s="199" t="s">
        <v>347</v>
      </c>
      <c r="D148" s="17"/>
      <c r="E148" s="86">
        <v>4</v>
      </c>
      <c r="F148" s="87">
        <v>4</v>
      </c>
    </row>
    <row r="149" spans="2:6" ht="13.5">
      <c r="B149" s="16"/>
      <c r="C149" s="199" t="s">
        <v>348</v>
      </c>
      <c r="D149" s="17"/>
      <c r="E149" s="84">
        <v>500</v>
      </c>
      <c r="F149" s="85">
        <v>500</v>
      </c>
    </row>
    <row r="150" spans="2:6" ht="13.5">
      <c r="B150" s="16"/>
      <c r="C150" s="199" t="s">
        <v>349</v>
      </c>
      <c r="D150" s="17"/>
      <c r="E150" s="84">
        <v>1000</v>
      </c>
      <c r="F150" s="85">
        <v>1000</v>
      </c>
    </row>
    <row r="151" spans="2:6" ht="13.5">
      <c r="B151" s="16"/>
      <c r="C151" s="199" t="s">
        <v>350</v>
      </c>
      <c r="D151" s="17"/>
      <c r="E151" s="84">
        <v>2000</v>
      </c>
      <c r="F151" s="85">
        <v>2000</v>
      </c>
    </row>
    <row r="152" spans="2:6" ht="13.5">
      <c r="B152" s="16"/>
      <c r="C152" s="199"/>
      <c r="D152" s="17"/>
      <c r="E152" s="17"/>
      <c r="F152" s="18"/>
    </row>
    <row r="153" spans="2:6" ht="13.5">
      <c r="B153" s="16"/>
      <c r="C153" s="17" t="s">
        <v>351</v>
      </c>
      <c r="D153" s="17"/>
      <c r="E153" s="17"/>
      <c r="F153" s="18"/>
    </row>
    <row r="154" spans="2:6" ht="13.5">
      <c r="B154" s="16"/>
      <c r="C154" s="199" t="s">
        <v>344</v>
      </c>
      <c r="D154" s="17"/>
      <c r="E154" s="76">
        <v>0.15</v>
      </c>
      <c r="F154" s="69">
        <v>0.15</v>
      </c>
    </row>
    <row r="155" spans="2:6" ht="13.5">
      <c r="B155" s="16"/>
      <c r="C155" s="199" t="s">
        <v>345</v>
      </c>
      <c r="D155" s="17"/>
      <c r="E155" s="23">
        <f>E154*'Revenue - B-to-B'!D245</f>
        <v>7200</v>
      </c>
      <c r="F155" s="112">
        <f>F154*'Revenue - B-to-B'!E245</f>
        <v>39600</v>
      </c>
    </row>
    <row r="156" spans="2:6" ht="13.5">
      <c r="B156" s="16"/>
      <c r="C156" s="17"/>
      <c r="D156" s="17"/>
      <c r="E156" s="11"/>
      <c r="F156" s="166"/>
    </row>
    <row r="157" spans="2:6" ht="15" thickBot="1">
      <c r="B157" s="19"/>
      <c r="C157" s="20"/>
      <c r="D157" s="20"/>
      <c r="E157" s="20"/>
      <c r="F157" s="21"/>
    </row>
    <row r="159" spans="4:6" ht="13.5">
      <c r="D159" s="169" t="s">
        <v>196</v>
      </c>
      <c r="E159" s="169" t="s">
        <v>197</v>
      </c>
      <c r="F159" s="169" t="s">
        <v>198</v>
      </c>
    </row>
    <row r="161" spans="2:43" ht="13.5">
      <c r="B161" s="25" t="s">
        <v>517</v>
      </c>
      <c r="D161" s="23"/>
      <c r="E161" s="23">
        <f>(E137+E139+E141+E145)+((E149+E150+E151)*E148)+(E155)</f>
        <v>183950</v>
      </c>
      <c r="F161" s="23">
        <f>F137+F139+F141+F145+((F149+F150+F151)*F148)+F155</f>
        <v>175350</v>
      </c>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row>
    <row r="165" ht="13.5">
      <c r="A165" s="99" t="s">
        <v>290</v>
      </c>
    </row>
    <row r="166" spans="1:2" ht="13.5">
      <c r="A166" s="99"/>
      <c r="B166" s="164" t="s">
        <v>291</v>
      </c>
    </row>
    <row r="167" spans="1:2" ht="13.5">
      <c r="A167" s="99"/>
      <c r="B167" s="164" t="s">
        <v>292</v>
      </c>
    </row>
    <row r="168" ht="15" thickBot="1"/>
    <row r="169" spans="2:10" ht="13.5">
      <c r="B169" s="70" t="s">
        <v>408</v>
      </c>
      <c r="C169" s="71"/>
      <c r="D169" s="71"/>
      <c r="E169" s="71"/>
      <c r="F169" s="330"/>
      <c r="G169" s="167"/>
      <c r="H169" s="167"/>
      <c r="I169" s="167"/>
      <c r="J169" s="167"/>
    </row>
    <row r="170" spans="2:6" ht="13.5">
      <c r="B170" s="16"/>
      <c r="C170" s="48"/>
      <c r="D170" s="55" t="s">
        <v>196</v>
      </c>
      <c r="E170" s="55" t="s">
        <v>197</v>
      </c>
      <c r="F170" s="130" t="s">
        <v>198</v>
      </c>
    </row>
    <row r="171" spans="2:6" ht="13.5">
      <c r="B171" s="16"/>
      <c r="C171" s="48" t="s">
        <v>61</v>
      </c>
      <c r="D171" s="17"/>
      <c r="E171" s="84">
        <v>5000</v>
      </c>
      <c r="F171" s="18"/>
    </row>
    <row r="172" spans="2:6" ht="13.5">
      <c r="B172" s="16"/>
      <c r="C172" s="17"/>
      <c r="D172" s="17"/>
      <c r="E172" s="17"/>
      <c r="F172" s="18"/>
    </row>
    <row r="173" spans="2:6" ht="13.5">
      <c r="B173" s="16"/>
      <c r="C173" s="17" t="s">
        <v>352</v>
      </c>
      <c r="D173" s="17"/>
      <c r="E173" s="4">
        <v>1500</v>
      </c>
      <c r="F173" s="1">
        <v>1500</v>
      </c>
    </row>
    <row r="174" spans="2:6" ht="13.5">
      <c r="B174" s="16"/>
      <c r="C174" s="17"/>
      <c r="D174" s="17"/>
      <c r="E174" s="17"/>
      <c r="F174" s="18"/>
    </row>
    <row r="175" spans="2:6" ht="15" thickBot="1">
      <c r="B175" s="19"/>
      <c r="C175" s="20"/>
      <c r="D175" s="20"/>
      <c r="E175" s="20"/>
      <c r="F175" s="21"/>
    </row>
    <row r="177" spans="4:6" ht="13.5">
      <c r="D177" s="169" t="s">
        <v>196</v>
      </c>
      <c r="E177" s="169" t="s">
        <v>197</v>
      </c>
      <c r="F177" s="169" t="s">
        <v>198</v>
      </c>
    </row>
    <row r="179" spans="2:43" ht="13.5">
      <c r="B179" s="25" t="s">
        <v>518</v>
      </c>
      <c r="D179" s="23"/>
      <c r="E179" s="23">
        <f>E171+((E173*12)*'Revenue - B-to-B'!D258)</f>
        <v>41000</v>
      </c>
      <c r="F179" s="23">
        <f>F171+((F173*12)*'Revenue - B-to-B'!E258)</f>
        <v>54000</v>
      </c>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row>
    <row r="183" spans="1:2" ht="13.5">
      <c r="A183" s="197" t="s">
        <v>80</v>
      </c>
      <c r="B183" s="167"/>
    </row>
    <row r="184" spans="1:2" ht="13.5">
      <c r="A184" s="99"/>
      <c r="B184" s="25" t="s">
        <v>81</v>
      </c>
    </row>
    <row r="185" spans="1:2" ht="13.5">
      <c r="A185" s="99"/>
      <c r="B185" s="164" t="s">
        <v>188</v>
      </c>
    </row>
    <row r="186" spans="1:2" ht="13.5">
      <c r="A186" s="99"/>
      <c r="B186" s="25" t="s">
        <v>189</v>
      </c>
    </row>
    <row r="187" spans="1:2" ht="13.5">
      <c r="A187" s="99"/>
      <c r="B187" s="164" t="s">
        <v>82</v>
      </c>
    </row>
    <row r="188" ht="15" thickBot="1"/>
    <row r="189" spans="2:6" ht="13.5">
      <c r="B189" s="70" t="s">
        <v>408</v>
      </c>
      <c r="C189" s="71"/>
      <c r="D189" s="71"/>
      <c r="E189" s="71"/>
      <c r="F189" s="330"/>
    </row>
    <row r="190" spans="2:6" ht="13.5">
      <c r="B190" s="16"/>
      <c r="C190" s="48"/>
      <c r="D190" s="55" t="s">
        <v>196</v>
      </c>
      <c r="E190" s="55" t="s">
        <v>197</v>
      </c>
      <c r="F190" s="130" t="s">
        <v>198</v>
      </c>
    </row>
    <row r="191" spans="2:6" ht="13.5">
      <c r="B191" s="16"/>
      <c r="C191" s="17"/>
      <c r="D191" s="12"/>
      <c r="E191" s="12"/>
      <c r="F191" s="18"/>
    </row>
    <row r="192" spans="2:6" ht="13.5">
      <c r="B192" s="16"/>
      <c r="C192" s="17"/>
      <c r="D192" s="12"/>
      <c r="E192" s="12"/>
      <c r="F192" s="168"/>
    </row>
    <row r="193" spans="2:6" ht="13.5">
      <c r="B193" s="16"/>
      <c r="C193" s="17"/>
      <c r="D193" s="12"/>
      <c r="E193" s="12"/>
      <c r="F193" s="168"/>
    </row>
    <row r="194" spans="2:6" ht="13.5">
      <c r="B194" s="16"/>
      <c r="C194" s="17"/>
      <c r="D194" s="12"/>
      <c r="E194" s="12"/>
      <c r="F194" s="168"/>
    </row>
    <row r="195" spans="2:6" ht="13.5">
      <c r="B195" s="16"/>
      <c r="C195" s="17"/>
      <c r="D195" s="12"/>
      <c r="E195" s="12"/>
      <c r="F195" s="168"/>
    </row>
    <row r="196" spans="2:6" ht="15" thickBot="1">
      <c r="B196" s="19"/>
      <c r="C196" s="20"/>
      <c r="D196" s="20"/>
      <c r="E196" s="20"/>
      <c r="F196" s="21"/>
    </row>
    <row r="198" spans="4:6" ht="13.5">
      <c r="D198" s="169" t="s">
        <v>196</v>
      </c>
      <c r="E198" s="169" t="s">
        <v>197</v>
      </c>
      <c r="F198" s="169" t="s">
        <v>198</v>
      </c>
    </row>
    <row r="199" ht="13.5">
      <c r="H199" s="178"/>
    </row>
    <row r="200" spans="2:43" ht="13.5">
      <c r="B200" s="25" t="s">
        <v>519</v>
      </c>
      <c r="D200" s="23"/>
      <c r="E200" s="23"/>
      <c r="F200" s="23">
        <v>0</v>
      </c>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row>
    <row r="203" ht="13.5">
      <c r="H203" s="164"/>
    </row>
    <row r="204" ht="13.5">
      <c r="A204" s="99" t="s">
        <v>102</v>
      </c>
    </row>
    <row r="205" spans="1:2" ht="13.5">
      <c r="A205" s="99"/>
      <c r="B205" s="25" t="s">
        <v>398</v>
      </c>
    </row>
    <row r="206" spans="1:2" ht="13.5">
      <c r="A206" s="99"/>
      <c r="B206" s="164" t="s">
        <v>103</v>
      </c>
    </row>
    <row r="207" spans="1:2" ht="13.5">
      <c r="A207" s="99"/>
      <c r="B207" s="164" t="s">
        <v>210</v>
      </c>
    </row>
    <row r="208" ht="15" thickBot="1"/>
    <row r="209" spans="2:6" ht="13.5">
      <c r="B209" s="70" t="s">
        <v>408</v>
      </c>
      <c r="C209" s="71"/>
      <c r="D209" s="71"/>
      <c r="E209" s="71"/>
      <c r="F209" s="330"/>
    </row>
    <row r="210" spans="2:6" ht="13.5">
      <c r="B210" s="16"/>
      <c r="C210" s="48"/>
      <c r="D210" s="55" t="s">
        <v>196</v>
      </c>
      <c r="E210" s="55" t="s">
        <v>197</v>
      </c>
      <c r="F210" s="130" t="s">
        <v>198</v>
      </c>
    </row>
    <row r="211" spans="2:43" ht="13.5">
      <c r="B211" s="16"/>
      <c r="C211" s="48"/>
      <c r="D211" s="11"/>
      <c r="E211" s="11"/>
      <c r="F211" s="166"/>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row>
    <row r="212" spans="2:6" ht="13.5">
      <c r="B212" s="16"/>
      <c r="C212" s="26"/>
      <c r="D212" s="11"/>
      <c r="E212" s="11"/>
      <c r="F212" s="166"/>
    </row>
    <row r="213" spans="2:43" ht="13.5">
      <c r="B213" s="16"/>
      <c r="C213" s="48"/>
      <c r="D213" s="11"/>
      <c r="E213" s="11"/>
      <c r="F213" s="166"/>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row>
    <row r="214" spans="2:6" ht="13.5">
      <c r="B214" s="16"/>
      <c r="C214" s="26"/>
      <c r="D214" s="11"/>
      <c r="E214" s="11"/>
      <c r="F214" s="166"/>
    </row>
    <row r="215" spans="2:6" ht="15" thickBot="1">
      <c r="B215" s="19"/>
      <c r="C215" s="20"/>
      <c r="D215" s="20"/>
      <c r="E215" s="20"/>
      <c r="F215" s="21"/>
    </row>
    <row r="217" spans="4:6" ht="13.5">
      <c r="D217" s="169" t="s">
        <v>196</v>
      </c>
      <c r="E217" s="169" t="s">
        <v>197</v>
      </c>
      <c r="F217" s="169" t="s">
        <v>198</v>
      </c>
    </row>
    <row r="219" spans="2:43" ht="13.5">
      <c r="B219" s="25" t="s">
        <v>520</v>
      </c>
      <c r="D219" s="23"/>
      <c r="E219" s="23"/>
      <c r="F219" s="23">
        <v>0</v>
      </c>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row>
    <row r="223" spans="9:44" ht="13.5">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Faust</dc:creator>
  <cp:keywords/>
  <dc:description/>
  <cp:lastModifiedBy>CUNY</cp:lastModifiedBy>
  <cp:lastPrinted>2005-10-25T16:07:29Z</cp:lastPrinted>
  <dcterms:created xsi:type="dcterms:W3CDTF">2005-04-07T14:38:56Z</dcterms:created>
  <dcterms:modified xsi:type="dcterms:W3CDTF">2010-02-16T22:23:34Z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